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 yWindow="90" windowWidth="28800" windowHeight="14145"/>
  </bookViews>
  <sheets>
    <sheet name="VOP 4.3" sheetId="1" r:id="rId1"/>
    <sheet name="2. økonomifordeling" sheetId="2" r:id="rId2"/>
    <sheet name="3. omfordeling af økonomi" sheetId="3" r:id="rId3"/>
  </sheets>
  <definedNames>
    <definedName name="_xlnm.Print_Area" localSheetId="0">'VOP 4.3'!$A$1:$Q$46</definedName>
  </definedNames>
  <calcPr calcId="125725"/>
</workbook>
</file>

<file path=xl/calcChain.xml><?xml version="1.0" encoding="utf-8"?>
<calcChain xmlns="http://schemas.openxmlformats.org/spreadsheetml/2006/main">
  <c r="I12" i="1"/>
  <c r="M10"/>
  <c r="B30" i="2"/>
  <c r="G7"/>
  <c r="G8"/>
  <c r="G10"/>
  <c r="M10"/>
  <c r="G12"/>
  <c r="G14"/>
  <c r="M14"/>
  <c r="G16"/>
  <c r="G18"/>
  <c r="M18"/>
  <c r="G20"/>
  <c r="G22"/>
  <c r="M22"/>
  <c r="G24"/>
  <c r="G26"/>
  <c r="M26"/>
  <c r="G28"/>
  <c r="H30"/>
  <c r="K8"/>
  <c r="K7"/>
  <c r="K9"/>
  <c r="K10"/>
  <c r="K11"/>
  <c r="K13"/>
  <c r="K14"/>
  <c r="K15"/>
  <c r="K17"/>
  <c r="K18"/>
  <c r="K19"/>
  <c r="K21"/>
  <c r="K22"/>
  <c r="K23"/>
  <c r="K25"/>
  <c r="K26"/>
  <c r="K27"/>
  <c r="K29"/>
  <c r="E7"/>
  <c r="J7"/>
  <c r="L7"/>
  <c r="J9"/>
  <c r="E10"/>
  <c r="J11"/>
  <c r="E12"/>
  <c r="J12"/>
  <c r="L12"/>
  <c r="J13"/>
  <c r="E14"/>
  <c r="J15"/>
  <c r="E16"/>
  <c r="J16"/>
  <c r="L16"/>
  <c r="J18"/>
  <c r="E19"/>
  <c r="J20"/>
  <c r="E21"/>
  <c r="J21"/>
  <c r="L21"/>
  <c r="J22"/>
  <c r="E23"/>
  <c r="J24"/>
  <c r="E25"/>
  <c r="J25"/>
  <c r="L25"/>
  <c r="J27"/>
  <c r="E28"/>
  <c r="J29"/>
  <c r="J8"/>
  <c r="J26"/>
  <c r="I30"/>
  <c r="F8"/>
  <c r="F10"/>
  <c r="F12"/>
  <c r="F14"/>
  <c r="F16"/>
  <c r="F18"/>
  <c r="F20"/>
  <c r="F22"/>
  <c r="F24"/>
  <c r="F26"/>
  <c r="F28"/>
  <c r="E17"/>
  <c r="D30"/>
  <c r="C7"/>
  <c r="C30"/>
  <c r="C8"/>
  <c r="C9"/>
  <c r="C10"/>
  <c r="C11"/>
  <c r="C12"/>
  <c r="C13"/>
  <c r="C14"/>
  <c r="C15"/>
  <c r="C16"/>
  <c r="C17"/>
  <c r="C18"/>
  <c r="C19"/>
  <c r="C20"/>
  <c r="C21"/>
  <c r="C22"/>
  <c r="C23"/>
  <c r="C24"/>
  <c r="C25"/>
  <c r="C26"/>
  <c r="C27"/>
  <c r="C28"/>
  <c r="C29"/>
  <c r="F9" i="1"/>
  <c r="F23"/>
  <c r="I9"/>
  <c r="M9"/>
  <c r="Q41" s="1"/>
  <c r="I23"/>
  <c r="H9"/>
  <c r="Q39" s="1"/>
  <c r="H31"/>
  <c r="G35"/>
  <c r="F31"/>
  <c r="G23"/>
  <c r="H23"/>
  <c r="G9"/>
  <c r="L9"/>
  <c r="G31"/>
  <c r="M20" i="2"/>
  <c r="L28"/>
  <c r="L19"/>
  <c r="M16"/>
  <c r="M8"/>
  <c r="M7"/>
  <c r="E8"/>
  <c r="F27"/>
  <c r="F23"/>
  <c r="F19"/>
  <c r="F15"/>
  <c r="F11"/>
  <c r="F7"/>
  <c r="J17"/>
  <c r="J30"/>
  <c r="J28"/>
  <c r="E27"/>
  <c r="L27"/>
  <c r="J23"/>
  <c r="L23"/>
  <c r="E22"/>
  <c r="L22"/>
  <c r="J19"/>
  <c r="E18"/>
  <c r="L18"/>
  <c r="J14"/>
  <c r="L14"/>
  <c r="E13"/>
  <c r="L13"/>
  <c r="J10"/>
  <c r="L10"/>
  <c r="E9"/>
  <c r="L9"/>
  <c r="K28"/>
  <c r="M28"/>
  <c r="K24"/>
  <c r="M24"/>
  <c r="K20"/>
  <c r="K16"/>
  <c r="K12"/>
  <c r="K30"/>
  <c r="G29"/>
  <c r="M29"/>
  <c r="G25"/>
  <c r="M25"/>
  <c r="G21"/>
  <c r="M21"/>
  <c r="G17"/>
  <c r="M17"/>
  <c r="G13"/>
  <c r="M13"/>
  <c r="G9"/>
  <c r="M9"/>
  <c r="E26"/>
  <c r="F29"/>
  <c r="F25"/>
  <c r="F21"/>
  <c r="F17"/>
  <c r="F13"/>
  <c r="F9"/>
  <c r="E29"/>
  <c r="L29"/>
  <c r="E24"/>
  <c r="L24"/>
  <c r="E20"/>
  <c r="L20"/>
  <c r="E15"/>
  <c r="L15"/>
  <c r="E11"/>
  <c r="L11"/>
  <c r="G27"/>
  <c r="M27"/>
  <c r="G23"/>
  <c r="M23"/>
  <c r="G19"/>
  <c r="M19"/>
  <c r="G15"/>
  <c r="M15"/>
  <c r="G11"/>
  <c r="M11"/>
  <c r="L30"/>
  <c r="L32"/>
  <c r="F30"/>
  <c r="M12"/>
  <c r="M30"/>
  <c r="E30"/>
  <c r="G30"/>
  <c r="M33"/>
  <c r="M35"/>
  <c r="G16" i="1" l="1"/>
  <c r="Q38"/>
  <c r="Q40" s="1"/>
  <c r="G17"/>
  <c r="Q42"/>
</calcChain>
</file>

<file path=xl/comments1.xml><?xml version="1.0" encoding="utf-8"?>
<comments xmlns="http://schemas.openxmlformats.org/spreadsheetml/2006/main">
  <authors>
    <author>Mikael Kirkebæk</author>
  </authors>
  <commentList>
    <comment ref="C8" authorId="0">
      <text>
        <r>
          <rPr>
            <b/>
            <sz val="8"/>
            <color indexed="81"/>
            <rFont val="Tahoma"/>
          </rPr>
          <t>Hvis projektet er beliggende i flere kommuner skal alle kommuner oplyses.</t>
        </r>
        <r>
          <rPr>
            <sz val="8"/>
            <color indexed="81"/>
            <rFont val="Tahoma"/>
          </rPr>
          <t xml:space="preserve">
</t>
        </r>
      </text>
    </comment>
    <comment ref="D8" authorId="0">
      <text>
        <r>
          <rPr>
            <b/>
            <sz val="8"/>
            <color indexed="81"/>
            <rFont val="Tahoma"/>
          </rPr>
          <t>Her må kun anføres én kommune. Denne kommune er juridisk ansvarlig for projektet.</t>
        </r>
      </text>
    </comment>
    <comment ref="E8" authorId="0">
      <text>
        <r>
          <rPr>
            <b/>
            <sz val="8"/>
            <color indexed="81"/>
            <rFont val="Tahoma"/>
          </rPr>
          <t>Skal referere til inddeling i den statslige vandplan (forhøringsversion)</t>
        </r>
      </text>
    </comment>
    <comment ref="F8" authorId="0">
      <text>
        <r>
          <rPr>
            <b/>
            <sz val="8"/>
            <color indexed="81"/>
            <rFont val="Tahoma"/>
          </rPr>
          <t>Der anvendes godkendt beregningsmetode - se "nøgledokumenter til kommunerne" på hjemmesiden</t>
        </r>
      </text>
    </comment>
    <comment ref="G8" authorId="0">
      <text>
        <r>
          <rPr>
            <b/>
            <sz val="8"/>
            <color indexed="81"/>
            <rFont val="Tahoma"/>
          </rPr>
          <t>Udfyldes med vurdering af P-frigivelse/optagelse i projektet ved anvendelse af vejledning herom, juni 2012. NEGATIVE tal viser frigivelse!</t>
        </r>
      </text>
    </comment>
    <comment ref="I8" authorId="0">
      <text>
        <r>
          <rPr>
            <b/>
            <sz val="8"/>
            <color indexed="81"/>
            <rFont val="Tahoma"/>
          </rPr>
          <t>Anfør samlet budget for forundersøgelse inkl. adm. 
Hvis forundersøgelse er afsluttet anføres udbetalt tilskud!</t>
        </r>
      </text>
    </comment>
    <comment ref="K8" authorId="0">
      <text>
        <r>
          <rPr>
            <b/>
            <sz val="8"/>
            <color indexed="81"/>
            <rFont val="Tahoma"/>
          </rPr>
          <t>Datoerne anvendes til prognose for implementering af indsats. Der kan ske ændringer</t>
        </r>
      </text>
    </comment>
    <comment ref="L8" authorId="0">
      <text>
        <r>
          <rPr>
            <b/>
            <sz val="8"/>
            <color indexed="81"/>
            <rFont val="Tahoma"/>
          </rPr>
          <t>Her anføres i hele kroner summen af udgifter ifm. realisering af projektet. Der skal således også indgå bruttoudgifter ved køb af projektjord.
Hvis projektet er gennemført anføres alle udbetalte tilskud tillagt opnåede salgsindtægter i projektet (anlæg, jordkøb/salg, jordfordeling, 20-årig fastholdelse).</t>
        </r>
        <r>
          <rPr>
            <sz val="8"/>
            <color indexed="81"/>
            <rFont val="Tahoma"/>
          </rPr>
          <t xml:space="preserve">
</t>
        </r>
      </text>
    </comment>
    <comment ref="M8" authorId="0">
      <text>
        <r>
          <rPr>
            <b/>
            <sz val="8"/>
            <color indexed="81"/>
            <rFont val="Tahoma"/>
          </rPr>
          <t>Der skal anføres netto beløb. I hele kroner. I beløbet skal indgå alle omkostninger inkl. administration. Der skal således også indgå en prissætning af køb og salg af arealer
Hvis projekt er realiseret anføres alle udbetalte tilskud i projektet (anlæg, netto jordkøb/salg, jordfordeling, 20-årig fastholdelse).</t>
        </r>
      </text>
    </comment>
    <comment ref="N8" authorId="0">
      <text>
        <r>
          <rPr>
            <b/>
            <sz val="8"/>
            <color indexed="81"/>
            <rFont val="Tahoma"/>
          </rPr>
          <t>Anfør den dato der forventes, eller er
 indsendt ansøgning om realisering.</t>
        </r>
      </text>
    </comment>
    <comment ref="O8" authorId="0">
      <text>
        <r>
          <rPr>
            <b/>
            <sz val="8"/>
            <color indexed="81"/>
            <rFont val="Tahoma"/>
          </rPr>
          <t>Anfør den dato hvor alle tilkudsberettigede udgifter forventes at være afholdt.</t>
        </r>
      </text>
    </comment>
    <comment ref="P8" authorId="0">
      <text>
        <r>
          <rPr>
            <sz val="8"/>
            <color indexed="81"/>
            <rFont val="Tahoma"/>
          </rPr>
          <t xml:space="preserve">Angiv ja/nej. Hvis ja er der behov for særlig opmærksomhed ifm forundersøgelse og realisering af projekt.
</t>
        </r>
      </text>
    </comment>
    <comment ref="Q8" authorId="0">
      <text>
        <r>
          <rPr>
            <b/>
            <sz val="8"/>
            <color indexed="81"/>
            <rFont val="Tahoma"/>
          </rPr>
          <t>Vælg mellem 3 modningsfaser</t>
        </r>
        <r>
          <rPr>
            <sz val="8"/>
            <color indexed="81"/>
            <rFont val="Tahoma"/>
          </rPr>
          <t xml:space="preserve">
</t>
        </r>
      </text>
    </comment>
    <comment ref="B17" authorId="0">
      <text>
        <r>
          <rPr>
            <b/>
            <sz val="12"/>
            <color indexed="81"/>
            <rFont val="Tahoma"/>
            <family val="2"/>
          </rPr>
          <t>Der kan arbejdes med ekstra forundersøgelser op til 20 % udover den krævede reduktion. Økonomi skal kunne holdes inden for den tildelte kommuale økonomiramme - se ark 2. Tjek at potentiel sum nederst til højre i skemaet ikke overstiger dette beløb. Hvis en gennemført ekstra forundersøgelse realiseres skal projektet flyttes til skemadel A ovenfor !</t>
        </r>
        <r>
          <rPr>
            <sz val="8"/>
            <color indexed="81"/>
            <rFont val="Tahoma"/>
          </rPr>
          <t xml:space="preserve">
</t>
        </r>
      </text>
    </comment>
    <comment ref="B24" authorId="0">
      <text>
        <r>
          <rPr>
            <sz val="8"/>
            <color indexed="81"/>
            <rFont val="Tahoma"/>
          </rPr>
          <t>I denne sektion listes de projekter som man har modtaget tilskud for men som ikke kan realiseres</t>
        </r>
      </text>
    </comment>
    <comment ref="B30" authorId="0">
      <text>
        <r>
          <rPr>
            <b/>
            <sz val="8"/>
            <color indexed="81"/>
            <rFont val="Tahoma"/>
          </rPr>
          <t>I denne sektion anføres kun forventede private projekter - hvis der ikke javes detajlviden kan anføres én linie med summen af de forventede private projekter.</t>
        </r>
        <r>
          <rPr>
            <sz val="8"/>
            <color indexed="81"/>
            <rFont val="Tahoma"/>
          </rPr>
          <t xml:space="preserve">
</t>
        </r>
      </text>
    </comment>
    <comment ref="N37" authorId="0">
      <text>
        <r>
          <rPr>
            <b/>
            <sz val="12"/>
            <color indexed="81"/>
            <rFont val="Tahoma"/>
            <family val="2"/>
          </rPr>
          <t>KONTROLLER tallene i denne sektion nøje, idet der er tale om nøgletal der skal overholdes</t>
        </r>
        <r>
          <rPr>
            <sz val="12"/>
            <color indexed="81"/>
            <rFont val="Tahoma"/>
            <family val="2"/>
          </rPr>
          <t xml:space="preserve">
</t>
        </r>
      </text>
    </comment>
    <comment ref="N42" authorId="0">
      <text>
        <r>
          <rPr>
            <sz val="10"/>
            <color indexed="81"/>
            <rFont val="Tahoma"/>
            <family val="2"/>
          </rPr>
          <t>Denne beregning er indikativ for i hvilket omfang VOP'en holder sig inden for maksimalt 120 % af den målsatte N-reduktion i hovedvandoplandet. For præcis beregning skal der tjekkes med indholdet i faneblad 2.</t>
        </r>
        <r>
          <rPr>
            <sz val="8"/>
            <color indexed="81"/>
            <rFont val="Tahoma"/>
          </rPr>
          <t xml:space="preserve">
</t>
        </r>
      </text>
    </comment>
  </commentList>
</comments>
</file>

<file path=xl/sharedStrings.xml><?xml version="1.0" encoding="utf-8"?>
<sst xmlns="http://schemas.openxmlformats.org/spreadsheetml/2006/main" count="245" uniqueCount="192">
  <si>
    <t>Version :</t>
  </si>
  <si>
    <t>dato</t>
  </si>
  <si>
    <t xml:space="preserve">Vandoplandsplan for </t>
  </si>
  <si>
    <t>Projektkatalog</t>
  </si>
  <si>
    <t>Delvandopland</t>
  </si>
  <si>
    <t>Projekt
startdato</t>
  </si>
  <si>
    <t>Projekt
slutdato</t>
  </si>
  <si>
    <t>I alt</t>
  </si>
  <si>
    <t>omkostningseffektivitet kr/kg N</t>
  </si>
  <si>
    <t>reference min. 113</t>
  </si>
  <si>
    <t>reference max 866</t>
  </si>
  <si>
    <t>nr</t>
  </si>
  <si>
    <t>Skitse</t>
  </si>
  <si>
    <t>Ide</t>
  </si>
  <si>
    <t>Forundersøgt</t>
  </si>
  <si>
    <t>Forunder-
søgelse
startdato</t>
  </si>
  <si>
    <t>Forunder-
søgelse
slutdato</t>
  </si>
  <si>
    <t>areal påvirket område (anslået areal, indtil der foreligger forundersøgelse)</t>
  </si>
  <si>
    <t>Noter:</t>
  </si>
  <si>
    <t>Beliggenheds
kommune( r)</t>
  </si>
  <si>
    <t>Kommunale projekter</t>
  </si>
  <si>
    <t>B.</t>
  </si>
  <si>
    <t>kan ej beregnes pt.</t>
  </si>
  <si>
    <t>SUM</t>
  </si>
  <si>
    <t>I alt ha</t>
  </si>
  <si>
    <t>Skitsefase: planlagt projekt, oplysninger kan helt eller delvis stamme fra ældre forundersøgelser eller fra nyere foreløbige faglige vurderinger og analyser</t>
  </si>
  <si>
    <r>
      <t xml:space="preserve">N reduktion
(t N /år) </t>
    </r>
    <r>
      <rPr>
        <b/>
        <vertAlign val="superscript"/>
        <sz val="11"/>
        <rFont val="Arial"/>
        <family val="2"/>
      </rPr>
      <t>1</t>
    </r>
  </si>
  <si>
    <t>Projektejer:
kommune</t>
  </si>
  <si>
    <t>for vådområdeprojekter (anslået reduktion tons N indtil der foreligger forundersøgelse)</t>
  </si>
  <si>
    <t>oplyses hvis kendt</t>
  </si>
  <si>
    <t>I alt N reduktion (t)</t>
  </si>
  <si>
    <t>gennemsnitlig kg N/ha/år</t>
  </si>
  <si>
    <t>NST-4203-00006</t>
  </si>
  <si>
    <t>Gennemført</t>
  </si>
  <si>
    <t>Opgivet</t>
  </si>
  <si>
    <t>Budget/
udgift
brutto
realisering</t>
  </si>
  <si>
    <t>Under realisering</t>
  </si>
  <si>
    <t>Forundersøges</t>
  </si>
  <si>
    <t>A1</t>
  </si>
  <si>
    <t>A2 Opgivne kommunale projekter</t>
  </si>
  <si>
    <t>………………………………………………………………………………………………..</t>
  </si>
  <si>
    <t>Forundersøgelse: projekt er ansøgt og forundersøgelsen er i gang. Forundersøgt: Forundersøgelse er afsluttet</t>
  </si>
  <si>
    <t>Kvælstof-vådområder</t>
  </si>
  <si>
    <t>Udfyld de gule og orange felter - de grå felter må ikke ændres !</t>
  </si>
  <si>
    <t xml:space="preserve">                          Formandskab for Vandoplandsstyregruppe (kommune, kontaktper.)</t>
  </si>
  <si>
    <t>A1B Ekstra forundersøgelser</t>
  </si>
  <si>
    <t>sum ekstra FoU</t>
  </si>
  <si>
    <t>Private projekter (som har/vil modtage tilsagn fra NEST)(Ordningen er nu lukket)</t>
  </si>
  <si>
    <t>anslået reduktion/frigivelse kg P/år pba. Udført P-riskovurdering</t>
  </si>
  <si>
    <t xml:space="preserve"> …………………………………………………..</t>
  </si>
  <si>
    <t>ekstraandel FoU - N %</t>
  </si>
  <si>
    <t>HUSK: Der vedlægges oversigtskort over vandoplandet med markering af de enkelte projekters beliggenhed (kan angives med prik)</t>
  </si>
  <si>
    <t>Fordeling af vådområde- og P-ådalsøkonomi til vandoplande</t>
  </si>
  <si>
    <t>kilde ha og effekt: BLST (statslige vandplaner)</t>
  </si>
  <si>
    <t>22. februar 2010</t>
  </si>
  <si>
    <t>Vådområder</t>
  </si>
  <si>
    <r>
      <t>P-ådale</t>
    </r>
    <r>
      <rPr>
        <b/>
        <sz val="7"/>
        <rFont val="Arial"/>
        <family val="2"/>
      </rPr>
      <t xml:space="preserve"> 4)</t>
    </r>
  </si>
  <si>
    <t>Samlet</t>
  </si>
  <si>
    <t>Hovedvandopland</t>
  </si>
  <si>
    <t>Effekt og areal</t>
  </si>
  <si>
    <t>Midler i alt</t>
  </si>
  <si>
    <t>fraregnet private lodsejere</t>
  </si>
  <si>
    <r>
      <t xml:space="preserve">heraf kommuneandel </t>
    </r>
    <r>
      <rPr>
        <b/>
        <sz val="7"/>
        <rFont val="Arial"/>
        <family val="2"/>
      </rPr>
      <t>3)</t>
    </r>
  </si>
  <si>
    <t>P-ådalsmidler
i alt</t>
  </si>
  <si>
    <r>
      <t xml:space="preserve">heraf kommuneandel </t>
    </r>
    <r>
      <rPr>
        <b/>
        <i/>
        <sz val="7"/>
        <rFont val="Arial"/>
        <family val="2"/>
      </rPr>
      <t>3)</t>
    </r>
  </si>
  <si>
    <t>samlede midler</t>
  </si>
  <si>
    <t>heraf kommuneandel*</t>
  </si>
  <si>
    <t>N-effekt (tons)</t>
  </si>
  <si>
    <r>
      <t xml:space="preserve">N effekt (tons) fraregnet private lodsejere </t>
    </r>
    <r>
      <rPr>
        <sz val="8"/>
        <rFont val="Arial"/>
        <family val="2"/>
      </rPr>
      <t>1)</t>
    </r>
  </si>
  <si>
    <r>
      <t xml:space="preserve">ha </t>
    </r>
    <r>
      <rPr>
        <sz val="7"/>
        <rFont val="Arial"/>
        <family val="2"/>
      </rPr>
      <t>2)</t>
    </r>
  </si>
  <si>
    <t>mio. kr.</t>
  </si>
  <si>
    <t>P-effekt (kg)</t>
  </si>
  <si>
    <t>ha</t>
  </si>
  <si>
    <t>1000 kroner</t>
  </si>
  <si>
    <t>mio. kr</t>
  </si>
  <si>
    <t xml:space="preserve">1.1 Nordlige Kattegat, Skagerrak  </t>
  </si>
  <si>
    <t xml:space="preserve">1.2 Limfjorden </t>
  </si>
  <si>
    <t xml:space="preserve">1.3 Mariager Fjord </t>
  </si>
  <si>
    <t xml:space="preserve">1.4 Nissum Fjord </t>
  </si>
  <si>
    <t xml:space="preserve">1.5 Randers Fjord </t>
  </si>
  <si>
    <t xml:space="preserve">1.6 Djursland   </t>
  </si>
  <si>
    <t>1.7 Århus Bugt</t>
  </si>
  <si>
    <t xml:space="preserve">1.8 Ringkøbing Fjord </t>
  </si>
  <si>
    <t xml:space="preserve">1.9 Horsens Fjord </t>
  </si>
  <si>
    <t xml:space="preserve">1.10 Vadehavet </t>
  </si>
  <si>
    <t xml:space="preserve">1.11 Lillebælt/Jylland </t>
  </si>
  <si>
    <t xml:space="preserve">1.12 Lillebælt/Fyn </t>
  </si>
  <si>
    <t xml:space="preserve">1.13 Odense Fjord </t>
  </si>
  <si>
    <t xml:space="preserve">1.14 Storebælt </t>
  </si>
  <si>
    <t xml:space="preserve">1.15 Det Sydfynske Øhav </t>
  </si>
  <si>
    <t xml:space="preserve">2.1 Kalundborg </t>
  </si>
  <si>
    <t xml:space="preserve">2.2 Isefjord og Roskilde Fjord </t>
  </si>
  <si>
    <t xml:space="preserve">2.3 Øresund </t>
  </si>
  <si>
    <t xml:space="preserve">2.4 Køge Bugt </t>
  </si>
  <si>
    <t xml:space="preserve">2.5 Smålandsfarvandet </t>
  </si>
  <si>
    <t xml:space="preserve">2.6 Østersøen </t>
  </si>
  <si>
    <t>3.1 Bornholm</t>
  </si>
  <si>
    <t>4.1 Kruså</t>
  </si>
  <si>
    <t>Sum</t>
  </si>
  <si>
    <t>opsøgende …</t>
  </si>
  <si>
    <t>Samlede aftalemidler</t>
  </si>
  <si>
    <t>samlet kommunerne</t>
  </si>
  <si>
    <t>opsøgende arbejde</t>
  </si>
  <si>
    <t>i alt kommunale udgifter mio. kr. iflg. aftale</t>
  </si>
  <si>
    <t>Skov- og Naturstyrelsen</t>
  </si>
  <si>
    <t>Idefase: påtænkt projekt, oplysning er alene baseret på skøn eller gennemsnitstal</t>
  </si>
  <si>
    <t xml:space="preserve">Under realisering: der er indsendt ansøgning om realisering af projektet. </t>
  </si>
  <si>
    <t>Gennemført: projektet er fysisk gennemført og afsluttet inklusive udbetaling af tilskud.</t>
  </si>
  <si>
    <t>Opgivet: projektet er besluttet opgivet og realiseres ikke. Opgivne projekter skal kun angives (i A2), hvis der er afholdt udgifter til forundersøgelse eller realisering indenfor tilsagn fra FVM.</t>
  </si>
  <si>
    <t xml:space="preserve"> </t>
  </si>
  <si>
    <t>pris kr.(ex.private projekter)</t>
  </si>
  <si>
    <t>I alt kg N/ha/år</t>
  </si>
  <si>
    <t>VOS  / Hovedvandopland</t>
  </si>
  <si>
    <t xml:space="preserve"> 1.12 Lillebælt / Fyn </t>
  </si>
  <si>
    <t xml:space="preserve"> 1.13 Odense Fjord </t>
  </si>
  <si>
    <t xml:space="preserve"> 1.14 Storebælt </t>
  </si>
  <si>
    <t xml:space="preserve"> 1.15 Det Sydfynske Øhav </t>
  </si>
  <si>
    <t xml:space="preserve"> 1.2 Limfjorden </t>
  </si>
  <si>
    <t xml:space="preserve"> 1.3 Mariager Fjord </t>
  </si>
  <si>
    <t xml:space="preserve"> 1.4 Nissum Fjord </t>
  </si>
  <si>
    <t xml:space="preserve"> 1.5 Randers Fjord </t>
  </si>
  <si>
    <t xml:space="preserve"> 1.8 Ringkøbing Fjord </t>
  </si>
  <si>
    <t xml:space="preserve"> 1.9 Horsens Fjord </t>
  </si>
  <si>
    <t xml:space="preserve"> 2.1 Kalundborg </t>
  </si>
  <si>
    <t xml:space="preserve"> 2.2 Isefjord og Roskilde Fjord </t>
  </si>
  <si>
    <t xml:space="preserve"> 2.5 Smålandsfarvandet </t>
  </si>
  <si>
    <t xml:space="preserve"> 2.6 Østersøen </t>
  </si>
  <si>
    <t>Budget
/udgift netto
Realisering</t>
  </si>
  <si>
    <t>Budget/
Udgift
Forundersøgelse</t>
  </si>
  <si>
    <r>
      <t>Størrelse
(hektar)</t>
    </r>
    <r>
      <rPr>
        <b/>
        <vertAlign val="superscript"/>
        <sz val="11"/>
        <rFont val="Arial"/>
        <family val="2"/>
      </rPr>
      <t>3</t>
    </r>
  </si>
  <si>
    <r>
      <t>P 
(kg/år)</t>
    </r>
    <r>
      <rPr>
        <b/>
        <vertAlign val="superscript"/>
        <sz val="11"/>
        <rFont val="Arial"/>
        <family val="2"/>
      </rPr>
      <t>2</t>
    </r>
  </si>
  <si>
    <t>Projektnavn</t>
  </si>
  <si>
    <t>Beliggende i Natura 2000?</t>
  </si>
  <si>
    <r>
      <t>Projekt-
modning</t>
    </r>
    <r>
      <rPr>
        <b/>
        <vertAlign val="superscript"/>
        <sz val="11"/>
        <rFont val="Arial"/>
        <family val="2"/>
      </rPr>
      <t>4</t>
    </r>
  </si>
  <si>
    <t>Omfordeling af midler og N-reduktion for vådområdeindsatsen mellem hovedvandoplande</t>
  </si>
  <si>
    <t>Udmeldt økonomiramme (kr.)   16-02-2010</t>
  </si>
  <si>
    <t>Vandplan 1 Indsatsbehov*      (t N)  16-02-2010</t>
  </si>
  <si>
    <t>*  Den kommunale vådområdeordning i alt 951 t N samt den private vådområdeordning i alt 180 t N</t>
  </si>
  <si>
    <t xml:space="preserve">Den samlede økonomiske ramme for den kommunale vådområdeindsats i perioden 2010-2015 er i alt 824 mio.kr. Der er ikke afsat yderligere midler til indsatsen, selvom indsatsbehovene i kolonne 4 også omfatter den private vådområdeordning. Der er iværksat en række private vådområder svarende til ialt ca. 30 t N. Der iværksættes ikke yderligere private vådområder, fordi ordningen er lukket.  </t>
  </si>
  <si>
    <t xml:space="preserve">Det er forventningen at vandoplandsstyregrupperne fortsat tilstræber at nå så langt som muligt i forhold til de udmeldte vp1-indsatsbehov. Det forhold, at der ikke afsættes yderligere midler til dækning af den private vådområdeindsats medfører imidlertid, at det ikke er forventningen at de udmeldte vp1-indsatsbehov opfyldes i alle hovedvandoplande. </t>
  </si>
  <si>
    <t xml:space="preserve">For de VOS’er, hvor økonomirammen er reduceret, vil det betyde, at man ikke kan nå de udmeldte vp1-indsatsbehov for hovedvandoplandet. Den Nationale styregruppe er opmærksom på dette. De enkelte kommuner er ikke forpligtet udover de opnåede tilsagn til projekter. </t>
  </si>
  <si>
    <t>Miljø- og Fødevareministeriet</t>
  </si>
  <si>
    <t>4.3 juli 2015</t>
  </si>
  <si>
    <t>14. juli 2015</t>
  </si>
  <si>
    <r>
      <t>Justeret økomoniramme (kr.) 14-07</t>
    </r>
    <r>
      <rPr>
        <b/>
        <sz val="11"/>
        <rFont val="Calibri"/>
        <family val="2"/>
      </rPr>
      <t>-2015</t>
    </r>
  </si>
  <si>
    <t xml:space="preserve">For de VOS’er, hvor økonomirammen er hævet, skal det tilstræbes at nå de udmeldte vp1-indsatsbehov for hovedvandoplandet så tæt som muligt.  Set i lyset af, at de mest omkostningseffektive projekter er igangsat, var der på møde den 30. oktober 2013 i den Nationale Styregruppe enighed om at justere kravet til omkostningseffektiviteten for de fremadrettede vådområder til 1.100 kr./ kg N. Tallet kan eventuelt overskrides såfremt det er velbegrundet og der forsat er tale om en omkostningseffektiv indsats. Det skal derfor fortsat tilstræbes at iværksætte vådområder med en så lav omkostningseffektivitet som muligt. </t>
  </si>
  <si>
    <t>NÆ2</t>
  </si>
  <si>
    <t>Evegrøften</t>
  </si>
  <si>
    <t xml:space="preserve">Næstved </t>
  </si>
  <si>
    <t>Næstved</t>
  </si>
  <si>
    <t>Karrebæk Fjord</t>
  </si>
  <si>
    <t>nej</t>
  </si>
  <si>
    <t>SL1</t>
  </si>
  <si>
    <t>Vejlerne ved Tude Å</t>
  </si>
  <si>
    <t>Slagelse</t>
  </si>
  <si>
    <t>Musholm Bugt, yder del</t>
  </si>
  <si>
    <t>LO15b</t>
  </si>
  <si>
    <t>Hellenæs Skov</t>
  </si>
  <si>
    <t>Lolland</t>
  </si>
  <si>
    <t>Nakskov Fjord</t>
  </si>
  <si>
    <t>LO25</t>
  </si>
  <si>
    <t>Ølsmade, Nybølle Hede</t>
  </si>
  <si>
    <t>Smålandsfarvandet syd</t>
  </si>
  <si>
    <t>NÆ4b</t>
  </si>
  <si>
    <t>Syvhøje</t>
  </si>
  <si>
    <t>NÆ24</t>
  </si>
  <si>
    <t>Bjørnebækken</t>
  </si>
  <si>
    <t>V2 Restopland</t>
  </si>
  <si>
    <t>2.5. Smålandsfarvandet</t>
  </si>
  <si>
    <t>GU8</t>
  </si>
  <si>
    <t>Sørup Sø</t>
  </si>
  <si>
    <t>Guldborgsund</t>
  </si>
  <si>
    <t>LO30</t>
  </si>
  <si>
    <t>Ørby Å</t>
  </si>
  <si>
    <t>……………………………</t>
  </si>
  <si>
    <t>……………………………….</t>
  </si>
  <si>
    <t>NÆ4</t>
  </si>
  <si>
    <t>Saltø Å, Nedre del</t>
  </si>
  <si>
    <t>GU10</t>
  </si>
  <si>
    <t>Dronninghave</t>
  </si>
  <si>
    <t>GU12</t>
  </si>
  <si>
    <t>Guldborg Enge</t>
  </si>
  <si>
    <t>GU6</t>
  </si>
  <si>
    <t>Tingsted Ådal</t>
  </si>
  <si>
    <t>VO-P1</t>
  </si>
  <si>
    <t>Ilvede v. Rosenfeldt</t>
  </si>
  <si>
    <t>Vordingborg</t>
  </si>
  <si>
    <t>Rosenfeldt Gods</t>
  </si>
  <si>
    <t>Avnø Fjord</t>
  </si>
  <si>
    <t xml:space="preserve">Charlotte Weber, Næstved Kommune, chwjo@naestved.dk </t>
  </si>
  <si>
    <t>-</t>
  </si>
  <si>
    <t>17.10.2017</t>
  </si>
</sst>
</file>

<file path=xl/styles.xml><?xml version="1.0" encoding="utf-8"?>
<styleSheet xmlns="http://schemas.openxmlformats.org/spreadsheetml/2006/main">
  <numFmts count="7">
    <numFmt numFmtId="164" formatCode="_(* #,##0.00_);_(* \(#,##0.00\);_(* &quot;-&quot;??_);_(@_)"/>
    <numFmt numFmtId="165" formatCode="[$-406]d\.\ mmmm\ yyyy;@"/>
    <numFmt numFmtId="166" formatCode="dd/mm/yy;@"/>
    <numFmt numFmtId="167" formatCode="#,##0.0"/>
    <numFmt numFmtId="168" formatCode="_(* #,##0.0_);_(* \(#,##0.0\);_(* &quot;-&quot;??_);_(@_)"/>
    <numFmt numFmtId="169" formatCode="_(* #,##0_);_(* \(#,##0\);_(* &quot;-&quot;??_);_(@_)"/>
    <numFmt numFmtId="170" formatCode="_(* #,##0.0_);_(* \(#,##0.0\);_(* &quot;-&quot;?_);_(@_)"/>
  </numFmts>
  <fonts count="47">
    <font>
      <sz val="10"/>
      <name val="Arial"/>
    </font>
    <font>
      <sz val="10"/>
      <name val="Arial"/>
    </font>
    <font>
      <b/>
      <sz val="10"/>
      <name val="Arial"/>
      <family val="2"/>
    </font>
    <font>
      <sz val="8"/>
      <name val="Arial"/>
    </font>
    <font>
      <sz val="11"/>
      <name val="Arial"/>
    </font>
    <font>
      <b/>
      <sz val="11"/>
      <name val="Arial"/>
    </font>
    <font>
      <b/>
      <sz val="11"/>
      <name val="Arial"/>
      <family val="2"/>
    </font>
    <font>
      <b/>
      <sz val="20"/>
      <name val="Arial"/>
      <family val="2"/>
    </font>
    <font>
      <sz val="14"/>
      <name val="Arial"/>
    </font>
    <font>
      <b/>
      <sz val="12"/>
      <name val="Arial"/>
    </font>
    <font>
      <sz val="12"/>
      <name val="Arial"/>
    </font>
    <font>
      <b/>
      <sz val="14"/>
      <name val="Arial"/>
      <family val="2"/>
    </font>
    <font>
      <b/>
      <vertAlign val="superscript"/>
      <sz val="11"/>
      <name val="Arial"/>
      <family val="2"/>
    </font>
    <font>
      <b/>
      <sz val="14"/>
      <name val="Arial"/>
    </font>
    <font>
      <b/>
      <i/>
      <sz val="10"/>
      <name val="Arial"/>
      <family val="2"/>
    </font>
    <font>
      <sz val="14"/>
      <name val="Arial"/>
      <family val="2"/>
    </font>
    <font>
      <sz val="8"/>
      <color indexed="81"/>
      <name val="Tahoma"/>
    </font>
    <font>
      <b/>
      <sz val="8"/>
      <color indexed="81"/>
      <name val="Tahoma"/>
    </font>
    <font>
      <b/>
      <sz val="18"/>
      <name val="Arial"/>
    </font>
    <font>
      <b/>
      <sz val="12"/>
      <name val="Arial"/>
      <family val="2"/>
    </font>
    <font>
      <b/>
      <sz val="26"/>
      <color indexed="10"/>
      <name val="Arial"/>
      <family val="2"/>
    </font>
    <font>
      <b/>
      <sz val="12"/>
      <color indexed="81"/>
      <name val="Tahoma"/>
      <family val="2"/>
    </font>
    <font>
      <sz val="12"/>
      <color indexed="81"/>
      <name val="Tahoma"/>
      <family val="2"/>
    </font>
    <font>
      <sz val="10"/>
      <color indexed="81"/>
      <name val="Tahoma"/>
      <family val="2"/>
    </font>
    <font>
      <sz val="10"/>
      <name val="Arial"/>
      <family val="2"/>
    </font>
    <font>
      <i/>
      <sz val="10"/>
      <name val="Arial"/>
      <family val="2"/>
    </font>
    <font>
      <b/>
      <sz val="7"/>
      <name val="Arial"/>
      <family val="2"/>
    </font>
    <font>
      <b/>
      <sz val="8"/>
      <name val="Arial"/>
      <family val="2"/>
    </font>
    <font>
      <b/>
      <i/>
      <sz val="8"/>
      <name val="Arial"/>
      <family val="2"/>
    </font>
    <font>
      <b/>
      <i/>
      <sz val="7"/>
      <name val="Arial"/>
      <family val="2"/>
    </font>
    <font>
      <sz val="8"/>
      <name val="Arial"/>
      <family val="2"/>
    </font>
    <font>
      <sz val="7"/>
      <name val="Arial"/>
      <family val="2"/>
    </font>
    <font>
      <sz val="12"/>
      <name val="Arial"/>
      <family val="2"/>
    </font>
    <font>
      <b/>
      <i/>
      <sz val="12"/>
      <name val="Arial"/>
      <family val="2"/>
    </font>
    <font>
      <i/>
      <sz val="12"/>
      <name val="Arial"/>
      <family val="2"/>
    </font>
    <font>
      <sz val="11"/>
      <name val="Calibri"/>
      <family val="2"/>
    </font>
    <font>
      <i/>
      <sz val="11"/>
      <name val="Calibri"/>
      <family val="2"/>
    </font>
    <font>
      <b/>
      <sz val="11"/>
      <name val="Calibri"/>
      <family val="2"/>
    </font>
    <font>
      <b/>
      <sz val="16"/>
      <name val="Arial"/>
      <family val="2"/>
    </font>
    <font>
      <sz val="11"/>
      <name val="Arial"/>
      <family val="2"/>
    </font>
    <font>
      <sz val="11"/>
      <color theme="1"/>
      <name val="Calibri"/>
      <family val="2"/>
      <scheme val="minor"/>
    </font>
    <font>
      <b/>
      <sz val="9"/>
      <color rgb="FF000000"/>
      <name val="Arial"/>
      <family val="2"/>
    </font>
    <font>
      <b/>
      <sz val="11"/>
      <color rgb="FF000000"/>
      <name val="Calibri"/>
      <family val="2"/>
    </font>
    <font>
      <sz val="9"/>
      <color rgb="FF000000"/>
      <name val="Arial"/>
      <family val="2"/>
    </font>
    <font>
      <sz val="11"/>
      <color rgb="FF000000"/>
      <name val="Calibri"/>
      <family val="2"/>
      <scheme val="minor"/>
    </font>
    <font>
      <b/>
      <sz val="11"/>
      <color rgb="FF000000"/>
      <name val="Calibri"/>
      <family val="2"/>
      <scheme val="minor"/>
    </font>
    <font>
      <sz val="11"/>
      <name val="Calibri"/>
      <family val="2"/>
      <scheme val="minor"/>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24" fillId="0" borderId="0"/>
    <xf numFmtId="0" fontId="40" fillId="0" borderId="0"/>
  </cellStyleXfs>
  <cellXfs count="221">
    <xf numFmtId="0" fontId="0" fillId="0" borderId="0" xfId="0"/>
    <xf numFmtId="0" fontId="2" fillId="0" borderId="0" xfId="0" applyFont="1"/>
    <xf numFmtId="0" fontId="0" fillId="2" borderId="0" xfId="0" applyFill="1"/>
    <xf numFmtId="0" fontId="0" fillId="3" borderId="0" xfId="0" applyFill="1"/>
    <xf numFmtId="0" fontId="4" fillId="3" borderId="0" xfId="0" applyFont="1" applyFill="1"/>
    <xf numFmtId="0" fontId="5" fillId="3" borderId="0" xfId="0" applyFont="1" applyFill="1"/>
    <xf numFmtId="0" fontId="4" fillId="4" borderId="1" xfId="0" applyFont="1" applyFill="1" applyBorder="1"/>
    <xf numFmtId="0" fontId="4" fillId="3" borderId="0" xfId="0" applyFont="1" applyFill="1" applyBorder="1"/>
    <xf numFmtId="0" fontId="6" fillId="3" borderId="0" xfId="0" applyFont="1" applyFill="1" applyBorder="1"/>
    <xf numFmtId="0" fontId="7" fillId="3" borderId="0" xfId="0" applyFont="1" applyFill="1"/>
    <xf numFmtId="0" fontId="9" fillId="3" borderId="0" xfId="0" applyFont="1" applyFill="1"/>
    <xf numFmtId="0" fontId="10" fillId="3" borderId="0" xfId="0" applyFont="1" applyFill="1"/>
    <xf numFmtId="0" fontId="9" fillId="3" borderId="0" xfId="0" applyFont="1" applyFill="1" applyBorder="1"/>
    <xf numFmtId="0" fontId="9" fillId="3" borderId="0" xfId="0" applyFont="1" applyFill="1" applyAlignment="1">
      <alignment horizontal="right"/>
    </xf>
    <xf numFmtId="3" fontId="9" fillId="3" borderId="0" xfId="0" applyNumberFormat="1" applyFont="1" applyFill="1"/>
    <xf numFmtId="3" fontId="10" fillId="3" borderId="1" xfId="0" applyNumberFormat="1" applyFont="1" applyFill="1" applyBorder="1"/>
    <xf numFmtId="0" fontId="10" fillId="3" borderId="0" xfId="0" applyFont="1" applyFill="1" applyBorder="1"/>
    <xf numFmtId="3" fontId="10" fillId="3" borderId="0" xfId="0" applyNumberFormat="1" applyFont="1" applyFill="1" applyBorder="1"/>
    <xf numFmtId="166" fontId="10" fillId="3" borderId="0" xfId="0" applyNumberFormat="1" applyFont="1" applyFill="1" applyBorder="1"/>
    <xf numFmtId="0" fontId="9" fillId="3" borderId="2" xfId="0" applyFont="1" applyFill="1" applyBorder="1"/>
    <xf numFmtId="0" fontId="10" fillId="3" borderId="2" xfId="0" applyFont="1" applyFill="1" applyBorder="1"/>
    <xf numFmtId="3" fontId="10" fillId="3" borderId="2" xfId="0" applyNumberFormat="1" applyFont="1" applyFill="1" applyBorder="1"/>
    <xf numFmtId="0" fontId="9" fillId="3" borderId="0" xfId="0" applyFont="1" applyFill="1" applyBorder="1" applyAlignment="1">
      <alignment horizontal="right"/>
    </xf>
    <xf numFmtId="3" fontId="9" fillId="3" borderId="0" xfId="0" applyNumberFormat="1" applyFont="1" applyFill="1" applyBorder="1"/>
    <xf numFmtId="0" fontId="10" fillId="4" borderId="1" xfId="0" applyFont="1" applyFill="1" applyBorder="1"/>
    <xf numFmtId="166" fontId="10" fillId="4" borderId="3" xfId="0" applyNumberFormat="1" applyFont="1" applyFill="1" applyBorder="1"/>
    <xf numFmtId="166" fontId="10" fillId="4" borderId="1" xfId="0" applyNumberFormat="1" applyFont="1" applyFill="1" applyBorder="1"/>
    <xf numFmtId="3" fontId="9" fillId="3" borderId="0" xfId="0" applyNumberFormat="1" applyFont="1" applyFill="1" applyBorder="1" applyAlignment="1">
      <alignment horizontal="center"/>
    </xf>
    <xf numFmtId="0" fontId="9" fillId="3" borderId="4" xfId="0" applyFont="1" applyFill="1" applyBorder="1"/>
    <xf numFmtId="0" fontId="10" fillId="3" borderId="5" xfId="0" applyFont="1" applyFill="1" applyBorder="1"/>
    <xf numFmtId="0" fontId="10" fillId="3" borderId="6" xfId="0" applyFont="1" applyFill="1" applyBorder="1"/>
    <xf numFmtId="0" fontId="10" fillId="3" borderId="7" xfId="0" applyFont="1" applyFill="1" applyBorder="1"/>
    <xf numFmtId="0" fontId="11" fillId="2" borderId="0" xfId="0" applyFont="1" applyFill="1"/>
    <xf numFmtId="0" fontId="5" fillId="3" borderId="8" xfId="0" applyFont="1" applyFill="1" applyBorder="1" applyAlignment="1">
      <alignment wrapText="1"/>
    </xf>
    <xf numFmtId="0" fontId="5" fillId="3" borderId="8" xfId="0" applyFont="1" applyFill="1" applyBorder="1"/>
    <xf numFmtId="0" fontId="9" fillId="3" borderId="5" xfId="0" applyFont="1" applyFill="1" applyBorder="1"/>
    <xf numFmtId="3" fontId="10" fillId="3" borderId="6" xfId="0" applyNumberFormat="1" applyFont="1" applyFill="1" applyBorder="1"/>
    <xf numFmtId="3" fontId="10" fillId="3" borderId="7" xfId="0" applyNumberFormat="1" applyFont="1" applyFill="1" applyBorder="1"/>
    <xf numFmtId="0" fontId="5" fillId="3" borderId="9" xfId="0" applyFont="1" applyFill="1" applyBorder="1"/>
    <xf numFmtId="0" fontId="13" fillId="3" borderId="4" xfId="0" applyFont="1" applyFill="1" applyBorder="1"/>
    <xf numFmtId="0" fontId="8" fillId="3" borderId="5" xfId="0" applyFont="1" applyFill="1" applyBorder="1"/>
    <xf numFmtId="0" fontId="8" fillId="3" borderId="6" xfId="0" applyFont="1" applyFill="1" applyBorder="1"/>
    <xf numFmtId="0" fontId="2" fillId="3" borderId="0" xfId="0" applyFont="1" applyFill="1"/>
    <xf numFmtId="0" fontId="14" fillId="3" borderId="0" xfId="0" applyFont="1" applyFill="1"/>
    <xf numFmtId="0" fontId="15" fillId="3" borderId="10" xfId="0" applyFont="1" applyFill="1" applyBorder="1"/>
    <xf numFmtId="0" fontId="15" fillId="3" borderId="0" xfId="0" applyFont="1" applyFill="1" applyBorder="1"/>
    <xf numFmtId="3" fontId="15" fillId="3" borderId="11" xfId="0" applyNumberFormat="1" applyFont="1" applyFill="1" applyBorder="1"/>
    <xf numFmtId="1" fontId="15" fillId="3" borderId="11" xfId="0" applyNumberFormat="1" applyFont="1" applyFill="1" applyBorder="1"/>
    <xf numFmtId="0" fontId="11" fillId="3" borderId="0" xfId="0" applyFont="1" applyFill="1"/>
    <xf numFmtId="0" fontId="11" fillId="3" borderId="2" xfId="0" applyFont="1" applyFill="1" applyBorder="1"/>
    <xf numFmtId="0" fontId="18" fillId="3" borderId="0" xfId="0" applyFont="1" applyFill="1"/>
    <xf numFmtId="1" fontId="9" fillId="3" borderId="5" xfId="0" applyNumberFormat="1" applyFont="1" applyFill="1" applyBorder="1"/>
    <xf numFmtId="167" fontId="9" fillId="3" borderId="0" xfId="0" applyNumberFormat="1" applyFont="1" applyFill="1"/>
    <xf numFmtId="167" fontId="9" fillId="3" borderId="0" xfId="0" applyNumberFormat="1" applyFont="1" applyFill="1" applyBorder="1"/>
    <xf numFmtId="167" fontId="10" fillId="4" borderId="1" xfId="0" applyNumberFormat="1" applyFont="1" applyFill="1" applyBorder="1"/>
    <xf numFmtId="167" fontId="10" fillId="4" borderId="12" xfId="0" applyNumberFormat="1" applyFont="1" applyFill="1" applyBorder="1"/>
    <xf numFmtId="169" fontId="9" fillId="3" borderId="0" xfId="1" applyNumberFormat="1" applyFont="1" applyFill="1"/>
    <xf numFmtId="0" fontId="0" fillId="0" borderId="0" xfId="0" applyFill="1"/>
    <xf numFmtId="167" fontId="10" fillId="3" borderId="0" xfId="0" applyNumberFormat="1" applyFont="1" applyFill="1" applyBorder="1"/>
    <xf numFmtId="0" fontId="10" fillId="3" borderId="0" xfId="0" applyNumberFormat="1" applyFont="1" applyFill="1" applyBorder="1" applyProtection="1"/>
    <xf numFmtId="0" fontId="10" fillId="2" borderId="1" xfId="0" applyFont="1" applyFill="1" applyBorder="1" applyProtection="1">
      <protection locked="0"/>
    </xf>
    <xf numFmtId="167" fontId="15" fillId="3" borderId="11" xfId="0" applyNumberFormat="1" applyFont="1" applyFill="1" applyBorder="1"/>
    <xf numFmtId="0" fontId="5" fillId="3" borderId="0" xfId="0" applyFont="1" applyFill="1" applyBorder="1"/>
    <xf numFmtId="0" fontId="19" fillId="3" borderId="0" xfId="0" applyFont="1" applyFill="1" applyBorder="1"/>
    <xf numFmtId="0" fontId="10" fillId="2" borderId="1" xfId="0" applyFont="1" applyFill="1" applyBorder="1"/>
    <xf numFmtId="0" fontId="4" fillId="3" borderId="0" xfId="0" applyFont="1" applyFill="1" applyAlignment="1">
      <alignment horizontal="right"/>
    </xf>
    <xf numFmtId="0" fontId="4" fillId="3" borderId="0" xfId="0" applyFont="1" applyFill="1" applyAlignment="1">
      <alignment horizontal="left"/>
    </xf>
    <xf numFmtId="165" fontId="4" fillId="3" borderId="0" xfId="0" applyNumberFormat="1" applyFont="1" applyFill="1" applyAlignment="1">
      <alignment horizontal="right"/>
    </xf>
    <xf numFmtId="0" fontId="5" fillId="3" borderId="2" xfId="0" applyFont="1" applyFill="1" applyBorder="1" applyAlignment="1">
      <alignment wrapText="1"/>
    </xf>
    <xf numFmtId="0" fontId="2" fillId="3" borderId="13" xfId="0" applyFont="1" applyFill="1" applyBorder="1"/>
    <xf numFmtId="0" fontId="0" fillId="3" borderId="13" xfId="0" applyFill="1" applyBorder="1"/>
    <xf numFmtId="0" fontId="11" fillId="3" borderId="0" xfId="0" applyFont="1" applyFill="1" applyBorder="1"/>
    <xf numFmtId="0" fontId="5" fillId="3" borderId="14" xfId="0" applyFont="1" applyFill="1" applyBorder="1"/>
    <xf numFmtId="0" fontId="9" fillId="3" borderId="15" xfId="0" applyFont="1" applyFill="1" applyBorder="1"/>
    <xf numFmtId="0" fontId="20" fillId="3" borderId="0" xfId="0" applyFont="1" applyFill="1"/>
    <xf numFmtId="169" fontId="9" fillId="3" borderId="16" xfId="1" applyNumberFormat="1" applyFont="1" applyFill="1" applyBorder="1"/>
    <xf numFmtId="169" fontId="10" fillId="2" borderId="1" xfId="1" applyNumberFormat="1" applyFont="1" applyFill="1" applyBorder="1"/>
    <xf numFmtId="0" fontId="10" fillId="2" borderId="17" xfId="0" applyFont="1" applyFill="1" applyBorder="1"/>
    <xf numFmtId="169" fontId="10" fillId="2" borderId="17" xfId="1" applyNumberFormat="1" applyFont="1" applyFill="1" applyBorder="1"/>
    <xf numFmtId="0" fontId="10" fillId="3" borderId="0" xfId="0" applyFont="1" applyFill="1" applyBorder="1" applyProtection="1">
      <protection locked="0"/>
    </xf>
    <xf numFmtId="0" fontId="10" fillId="3" borderId="13" xfId="0" applyFont="1" applyFill="1" applyBorder="1" applyProtection="1">
      <protection locked="0"/>
    </xf>
    <xf numFmtId="0" fontId="8" fillId="3" borderId="14" xfId="0" applyFont="1" applyFill="1" applyBorder="1"/>
    <xf numFmtId="0" fontId="8" fillId="3" borderId="15" xfId="0" applyFont="1" applyFill="1" applyBorder="1"/>
    <xf numFmtId="9" fontId="8" fillId="3" borderId="16" xfId="0" applyNumberFormat="1" applyFont="1" applyFill="1" applyBorder="1"/>
    <xf numFmtId="0" fontId="0" fillId="3" borderId="5" xfId="0" applyFill="1" applyBorder="1"/>
    <xf numFmtId="1" fontId="9" fillId="3" borderId="5" xfId="0" applyNumberFormat="1" applyFont="1" applyFill="1" applyBorder="1" applyAlignment="1">
      <alignment horizontal="center"/>
    </xf>
    <xf numFmtId="0" fontId="0" fillId="3" borderId="2" xfId="0" applyFill="1" applyBorder="1"/>
    <xf numFmtId="3" fontId="9" fillId="3" borderId="2" xfId="0" applyNumberFormat="1" applyFont="1" applyFill="1" applyBorder="1" applyAlignment="1">
      <alignment horizontal="center"/>
    </xf>
    <xf numFmtId="3" fontId="15" fillId="3" borderId="0" xfId="0" applyNumberFormat="1" applyFont="1" applyFill="1" applyBorder="1"/>
    <xf numFmtId="0" fontId="0" fillId="3" borderId="0" xfId="0" applyFill="1" applyBorder="1"/>
    <xf numFmtId="2" fontId="11" fillId="0" borderId="0" xfId="0" applyNumberFormat="1" applyFont="1"/>
    <xf numFmtId="3" fontId="24" fillId="0" borderId="0" xfId="0" applyNumberFormat="1" applyFont="1"/>
    <xf numFmtId="0" fontId="24" fillId="0" borderId="0" xfId="0" applyFont="1"/>
    <xf numFmtId="2" fontId="25" fillId="0" borderId="0" xfId="0" applyNumberFormat="1" applyFont="1"/>
    <xf numFmtId="3" fontId="19" fillId="0" borderId="14" xfId="0" applyNumberFormat="1" applyFont="1" applyBorder="1"/>
    <xf numFmtId="3" fontId="24" fillId="0" borderId="15" xfId="0" applyNumberFormat="1" applyFont="1" applyBorder="1"/>
    <xf numFmtId="0" fontId="24" fillId="0" borderId="15" xfId="0" applyFont="1" applyBorder="1"/>
    <xf numFmtId="0" fontId="24" fillId="0" borderId="16" xfId="0" applyFont="1" applyBorder="1"/>
    <xf numFmtId="0" fontId="19" fillId="0" borderId="14" xfId="0" applyFont="1" applyBorder="1"/>
    <xf numFmtId="0" fontId="2" fillId="3" borderId="12" xfId="0" applyFont="1" applyFill="1" applyBorder="1" applyAlignment="1">
      <alignment horizontal="center" vertical="top"/>
    </xf>
    <xf numFmtId="0" fontId="2" fillId="3" borderId="18" xfId="0" applyFont="1" applyFill="1" applyBorder="1" applyAlignment="1">
      <alignment wrapText="1"/>
    </xf>
    <xf numFmtId="0" fontId="27" fillId="3" borderId="18" xfId="0" applyFont="1" applyFill="1" applyBorder="1" applyAlignment="1">
      <alignment wrapText="1"/>
    </xf>
    <xf numFmtId="0" fontId="27" fillId="3" borderId="19" xfId="0" applyFont="1" applyFill="1" applyBorder="1" applyAlignment="1">
      <alignment horizontal="center" wrapText="1"/>
    </xf>
    <xf numFmtId="0" fontId="14" fillId="3" borderId="18" xfId="0" applyFont="1" applyFill="1" applyBorder="1" applyAlignment="1">
      <alignment wrapText="1"/>
    </xf>
    <xf numFmtId="0" fontId="28" fillId="3" borderId="20" xfId="0" applyFont="1" applyFill="1" applyBorder="1" applyAlignment="1">
      <alignment horizontal="center" wrapText="1"/>
    </xf>
    <xf numFmtId="0" fontId="14" fillId="3" borderId="21" xfId="0" applyFont="1" applyFill="1" applyBorder="1"/>
    <xf numFmtId="0" fontId="28" fillId="3" borderId="19" xfId="0" applyFont="1" applyFill="1" applyBorder="1" applyAlignment="1">
      <alignment horizontal="center" wrapText="1"/>
    </xf>
    <xf numFmtId="0" fontId="24" fillId="3" borderId="12" xfId="0" applyFont="1" applyFill="1" applyBorder="1" applyAlignment="1">
      <alignment horizontal="center"/>
    </xf>
    <xf numFmtId="3" fontId="24" fillId="3" borderId="22" xfId="0" applyNumberFormat="1" applyFont="1" applyFill="1" applyBorder="1" applyAlignment="1">
      <alignment horizontal="center" vertical="top"/>
    </xf>
    <xf numFmtId="3" fontId="24" fillId="3" borderId="1" xfId="0" applyNumberFormat="1" applyFont="1" applyFill="1" applyBorder="1" applyAlignment="1">
      <alignment horizontal="center" vertical="top" wrapText="1"/>
    </xf>
    <xf numFmtId="3" fontId="24" fillId="3" borderId="1" xfId="0" applyNumberFormat="1" applyFont="1" applyFill="1" applyBorder="1" applyAlignment="1">
      <alignment horizontal="center" vertical="top"/>
    </xf>
    <xf numFmtId="168" fontId="24" fillId="3" borderId="1" xfId="1" applyNumberFormat="1" applyFont="1" applyFill="1" applyBorder="1" applyAlignment="1">
      <alignment horizontal="center"/>
    </xf>
    <xf numFmtId="168" fontId="24" fillId="3" borderId="23" xfId="1" applyNumberFormat="1" applyFont="1" applyFill="1" applyBorder="1" applyAlignment="1">
      <alignment horizontal="center"/>
    </xf>
    <xf numFmtId="3" fontId="25" fillId="3" borderId="22" xfId="0" applyNumberFormat="1" applyFont="1" applyFill="1" applyBorder="1" applyAlignment="1">
      <alignment horizontal="center" vertical="top"/>
    </xf>
    <xf numFmtId="3" fontId="25" fillId="3" borderId="1" xfId="0" applyNumberFormat="1" applyFont="1" applyFill="1" applyBorder="1" applyAlignment="1">
      <alignment horizontal="center" vertical="top"/>
    </xf>
    <xf numFmtId="0" fontId="25" fillId="3" borderId="1" xfId="0" applyFont="1" applyFill="1" applyBorder="1" applyAlignment="1">
      <alignment horizontal="center"/>
    </xf>
    <xf numFmtId="0" fontId="25" fillId="3" borderId="12" xfId="0" applyFont="1" applyFill="1" applyBorder="1" applyAlignment="1">
      <alignment horizontal="center"/>
    </xf>
    <xf numFmtId="0" fontId="25" fillId="3" borderId="22" xfId="0" applyFont="1" applyFill="1" applyBorder="1" applyAlignment="1">
      <alignment horizontal="center"/>
    </xf>
    <xf numFmtId="0" fontId="25" fillId="3" borderId="23" xfId="0" applyFont="1" applyFill="1" applyBorder="1" applyAlignment="1">
      <alignment horizontal="center"/>
    </xf>
    <xf numFmtId="0" fontId="24" fillId="0" borderId="0" xfId="0" applyFont="1" applyAlignment="1">
      <alignment horizontal="center"/>
    </xf>
    <xf numFmtId="0" fontId="24" fillId="0" borderId="12" xfId="0" applyFont="1" applyBorder="1" applyAlignment="1">
      <alignment horizontal="left"/>
    </xf>
    <xf numFmtId="3" fontId="24" fillId="2" borderId="22" xfId="0" applyNumberFormat="1" applyFont="1" applyFill="1" applyBorder="1" applyAlignment="1">
      <alignment horizontal="right"/>
    </xf>
    <xf numFmtId="3" fontId="24" fillId="2" borderId="1" xfId="0" applyNumberFormat="1" applyFont="1" applyFill="1" applyBorder="1" applyAlignment="1">
      <alignment horizontal="right"/>
    </xf>
    <xf numFmtId="3" fontId="24" fillId="0" borderId="1" xfId="0" applyNumberFormat="1" applyFont="1" applyFill="1" applyBorder="1" applyAlignment="1">
      <alignment horizontal="right"/>
    </xf>
    <xf numFmtId="168" fontId="24" fillId="0" borderId="1" xfId="1" applyNumberFormat="1" applyFont="1" applyBorder="1"/>
    <xf numFmtId="168" fontId="24" fillId="0" borderId="23" xfId="1" applyNumberFormat="1" applyFont="1" applyBorder="1"/>
    <xf numFmtId="3" fontId="25" fillId="4" borderId="22" xfId="0" applyNumberFormat="1" applyFont="1" applyFill="1" applyBorder="1" applyAlignment="1">
      <alignment horizontal="right"/>
    </xf>
    <xf numFmtId="3" fontId="25" fillId="0" borderId="1" xfId="0" applyNumberFormat="1" applyFont="1" applyFill="1" applyBorder="1" applyAlignment="1">
      <alignment horizontal="right"/>
    </xf>
    <xf numFmtId="169" fontId="25" fillId="0" borderId="1" xfId="1" applyNumberFormat="1" applyFont="1" applyBorder="1"/>
    <xf numFmtId="168" fontId="25" fillId="0" borderId="12" xfId="1" applyNumberFormat="1" applyFont="1" applyBorder="1"/>
    <xf numFmtId="170" fontId="25" fillId="0" borderId="22" xfId="0" applyNumberFormat="1" applyFont="1" applyBorder="1"/>
    <xf numFmtId="170" fontId="25" fillId="0" borderId="23" xfId="0" applyNumberFormat="1" applyFont="1" applyBorder="1"/>
    <xf numFmtId="0" fontId="24" fillId="0" borderId="12" xfId="0" applyFont="1" applyBorder="1" applyAlignment="1">
      <alignment wrapText="1"/>
    </xf>
    <xf numFmtId="0" fontId="24" fillId="0" borderId="24" xfId="0" applyFont="1" applyBorder="1" applyAlignment="1">
      <alignment wrapText="1"/>
    </xf>
    <xf numFmtId="1" fontId="19" fillId="0" borderId="25" xfId="0" applyNumberFormat="1" applyFont="1" applyBorder="1"/>
    <xf numFmtId="3" fontId="19" fillId="2" borderId="26" xfId="0" applyNumberFormat="1" applyFont="1" applyFill="1" applyBorder="1"/>
    <xf numFmtId="3" fontId="19" fillId="2" borderId="27" xfId="0" applyNumberFormat="1" applyFont="1" applyFill="1" applyBorder="1"/>
    <xf numFmtId="3" fontId="32" fillId="2" borderId="26" xfId="0" applyNumberFormat="1" applyFont="1" applyFill="1" applyBorder="1"/>
    <xf numFmtId="168" fontId="19" fillId="2" borderId="2" xfId="0" applyNumberFormat="1" applyFont="1" applyFill="1" applyBorder="1"/>
    <xf numFmtId="168" fontId="19" fillId="2" borderId="7" xfId="0" applyNumberFormat="1" applyFont="1" applyFill="1" applyBorder="1"/>
    <xf numFmtId="3" fontId="33" fillId="4" borderId="26" xfId="0" applyNumberFormat="1" applyFont="1" applyFill="1" applyBorder="1"/>
    <xf numFmtId="3" fontId="34" fillId="4" borderId="26" xfId="0" applyNumberFormat="1" applyFont="1" applyFill="1" applyBorder="1"/>
    <xf numFmtId="3" fontId="33" fillId="4" borderId="27" xfId="0" applyNumberFormat="1" applyFont="1" applyFill="1" applyBorder="1"/>
    <xf numFmtId="3" fontId="33" fillId="4" borderId="28" xfId="0" applyNumberFormat="1" applyFont="1" applyFill="1" applyBorder="1"/>
    <xf numFmtId="167" fontId="33" fillId="0" borderId="26" xfId="0" applyNumberFormat="1" applyFont="1" applyFill="1" applyBorder="1"/>
    <xf numFmtId="167" fontId="33" fillId="0" borderId="29" xfId="0" applyNumberFormat="1" applyFont="1" applyFill="1" applyBorder="1"/>
    <xf numFmtId="0" fontId="19" fillId="0" borderId="0" xfId="0" applyFont="1"/>
    <xf numFmtId="2" fontId="24" fillId="0" borderId="0" xfId="0" applyNumberFormat="1" applyFont="1"/>
    <xf numFmtId="0" fontId="25" fillId="0" borderId="0" xfId="0" applyFont="1"/>
    <xf numFmtId="167" fontId="33" fillId="0" borderId="0" xfId="0" applyNumberFormat="1" applyFont="1"/>
    <xf numFmtId="0" fontId="24" fillId="0" borderId="30" xfId="0" applyFont="1" applyBorder="1"/>
    <xf numFmtId="170" fontId="24" fillId="0" borderId="30" xfId="0" applyNumberFormat="1" applyFont="1" applyBorder="1"/>
    <xf numFmtId="0" fontId="24" fillId="0" borderId="0" xfId="0" applyFont="1" applyBorder="1"/>
    <xf numFmtId="170" fontId="24" fillId="0" borderId="0" xfId="0" applyNumberFormat="1" applyFont="1" applyBorder="1"/>
    <xf numFmtId="0" fontId="24" fillId="0" borderId="8" xfId="0" applyFont="1" applyBorder="1"/>
    <xf numFmtId="170" fontId="24" fillId="0" borderId="8" xfId="0" applyNumberFormat="1" applyFont="1" applyBorder="1"/>
    <xf numFmtId="0" fontId="8" fillId="3" borderId="0" xfId="0" applyFont="1" applyFill="1" applyBorder="1"/>
    <xf numFmtId="9" fontId="8" fillId="3" borderId="0" xfId="0" applyNumberFormat="1" applyFont="1" applyFill="1" applyBorder="1"/>
    <xf numFmtId="0" fontId="11" fillId="0" borderId="0" xfId="0" applyFont="1" applyAlignment="1">
      <alignment vertical="center"/>
    </xf>
    <xf numFmtId="0" fontId="6" fillId="3" borderId="8" xfId="0" applyFont="1" applyFill="1" applyBorder="1" applyAlignment="1">
      <alignment wrapText="1"/>
    </xf>
    <xf numFmtId="0" fontId="2" fillId="3" borderId="2" xfId="0" applyFont="1" applyFill="1" applyBorder="1" applyAlignment="1">
      <alignment wrapText="1"/>
    </xf>
    <xf numFmtId="0" fontId="6" fillId="3" borderId="2" xfId="0" applyFont="1" applyFill="1" applyBorder="1" applyAlignment="1">
      <alignment wrapText="1"/>
    </xf>
    <xf numFmtId="0" fontId="35" fillId="0" borderId="0" xfId="0" applyFont="1" applyAlignment="1">
      <alignment vertical="top" wrapText="1"/>
    </xf>
    <xf numFmtId="0" fontId="41" fillId="0" borderId="1" xfId="2" applyFont="1" applyBorder="1" applyAlignment="1">
      <alignment horizontal="left"/>
    </xf>
    <xf numFmtId="0" fontId="42" fillId="0" borderId="1" xfId="3" applyFont="1" applyBorder="1" applyAlignment="1">
      <alignment wrapText="1"/>
    </xf>
    <xf numFmtId="0" fontId="42" fillId="0" borderId="1" xfId="2" applyFont="1" applyFill="1" applyBorder="1" applyAlignment="1">
      <alignment wrapText="1"/>
    </xf>
    <xf numFmtId="0" fontId="42" fillId="0" borderId="1" xfId="3" applyFont="1" applyFill="1" applyBorder="1" applyAlignment="1">
      <alignment wrapText="1"/>
    </xf>
    <xf numFmtId="0" fontId="43" fillId="0" borderId="31" xfId="2" applyFont="1" applyBorder="1" applyAlignment="1">
      <alignment vertical="center"/>
    </xf>
    <xf numFmtId="3" fontId="44" fillId="0" borderId="31" xfId="3" applyNumberFormat="1" applyFont="1" applyBorder="1" applyAlignment="1">
      <alignment horizontal="right"/>
    </xf>
    <xf numFmtId="3" fontId="44" fillId="0" borderId="31" xfId="3" applyNumberFormat="1" applyFont="1" applyFill="1" applyBorder="1" applyAlignment="1">
      <alignment horizontal="right"/>
    </xf>
    <xf numFmtId="0" fontId="43" fillId="0" borderId="1" xfId="2" applyFont="1" applyBorder="1" applyAlignment="1">
      <alignment vertical="center"/>
    </xf>
    <xf numFmtId="3" fontId="44" fillId="0" borderId="1" xfId="3" applyNumberFormat="1" applyFont="1" applyBorder="1" applyAlignment="1">
      <alignment horizontal="right"/>
    </xf>
    <xf numFmtId="3" fontId="44" fillId="0" borderId="1" xfId="3" applyNumberFormat="1" applyFont="1" applyFill="1" applyBorder="1" applyAlignment="1">
      <alignment horizontal="right"/>
    </xf>
    <xf numFmtId="3" fontId="40" fillId="0" borderId="1" xfId="3" applyNumberFormat="1" applyBorder="1" applyAlignment="1">
      <alignment horizontal="right"/>
    </xf>
    <xf numFmtId="3" fontId="45" fillId="0" borderId="1" xfId="3" applyNumberFormat="1" applyFont="1" applyBorder="1" applyAlignment="1">
      <alignment horizontal="right"/>
    </xf>
    <xf numFmtId="3" fontId="2" fillId="5" borderId="1" xfId="3" applyNumberFormat="1" applyFont="1" applyFill="1" applyBorder="1" applyAlignment="1"/>
    <xf numFmtId="0" fontId="42" fillId="0" borderId="0" xfId="0" applyFont="1" applyFill="1" applyBorder="1" applyAlignment="1">
      <alignment wrapText="1"/>
    </xf>
    <xf numFmtId="0" fontId="44" fillId="0" borderId="0" xfId="0" applyNumberFormat="1" applyFont="1" applyFill="1" applyBorder="1" applyAlignment="1">
      <alignment horizontal="right"/>
    </xf>
    <xf numFmtId="0" fontId="0" fillId="0" borderId="0" xfId="0" applyBorder="1"/>
    <xf numFmtId="167" fontId="0" fillId="0" borderId="0" xfId="0" applyNumberFormat="1" applyFill="1" applyBorder="1" applyAlignment="1">
      <alignment horizontal="right"/>
    </xf>
    <xf numFmtId="0" fontId="0" fillId="0" borderId="0" xfId="0" applyFill="1" applyBorder="1"/>
    <xf numFmtId="0" fontId="36" fillId="5" borderId="0" xfId="0" applyFont="1" applyFill="1" applyBorder="1" applyAlignment="1">
      <alignment vertical="top"/>
    </xf>
    <xf numFmtId="0" fontId="35" fillId="0" borderId="0" xfId="0" applyFont="1" applyAlignment="1">
      <alignment vertical="top"/>
    </xf>
    <xf numFmtId="0" fontId="38" fillId="3" borderId="0" xfId="0" applyFont="1" applyFill="1"/>
    <xf numFmtId="0" fontId="0" fillId="6" borderId="0" xfId="0" applyFill="1"/>
    <xf numFmtId="3" fontId="0" fillId="0" borderId="0" xfId="0" applyNumberFormat="1" applyFont="1" applyBorder="1" applyAlignment="1">
      <alignment horizontal="right"/>
    </xf>
    <xf numFmtId="3" fontId="45" fillId="0" borderId="1" xfId="3" applyNumberFormat="1" applyFont="1" applyFill="1" applyBorder="1" applyAlignment="1">
      <alignment horizontal="right"/>
    </xf>
    <xf numFmtId="3" fontId="0" fillId="0" borderId="0" xfId="0" applyNumberFormat="1"/>
    <xf numFmtId="0" fontId="6" fillId="2" borderId="1" xfId="0" applyFont="1" applyFill="1" applyBorder="1"/>
    <xf numFmtId="0" fontId="19" fillId="2" borderId="1" xfId="0" applyFont="1" applyFill="1" applyBorder="1"/>
    <xf numFmtId="167" fontId="19" fillId="2" borderId="1" xfId="0" applyNumberFormat="1" applyFont="1" applyFill="1" applyBorder="1"/>
    <xf numFmtId="3" fontId="19" fillId="7" borderId="1" xfId="0" applyNumberFormat="1" applyFont="1" applyFill="1" applyBorder="1"/>
    <xf numFmtId="166" fontId="19" fillId="2" borderId="1" xfId="0" applyNumberFormat="1" applyFont="1" applyFill="1" applyBorder="1"/>
    <xf numFmtId="169" fontId="19" fillId="2" borderId="1" xfId="1" applyNumberFormat="1" applyFont="1" applyFill="1" applyBorder="1"/>
    <xf numFmtId="166" fontId="19" fillId="2" borderId="17" xfId="0" applyNumberFormat="1" applyFont="1" applyFill="1" applyBorder="1"/>
    <xf numFmtId="3" fontId="19" fillId="7" borderId="17" xfId="0" applyNumberFormat="1" applyFont="1" applyFill="1" applyBorder="1"/>
    <xf numFmtId="167" fontId="32" fillId="3" borderId="0" xfId="0" applyNumberFormat="1" applyFont="1" applyFill="1" applyBorder="1"/>
    <xf numFmtId="0" fontId="32" fillId="3" borderId="0" xfId="0" applyFont="1" applyFill="1"/>
    <xf numFmtId="0" fontId="32" fillId="2" borderId="31" xfId="0" applyFont="1" applyFill="1" applyBorder="1" applyProtection="1">
      <protection locked="0"/>
    </xf>
    <xf numFmtId="0" fontId="39" fillId="2" borderId="1" xfId="0" applyFont="1" applyFill="1" applyBorder="1"/>
    <xf numFmtId="0" fontId="32" fillId="2" borderId="1" xfId="0" applyFont="1" applyFill="1" applyBorder="1"/>
    <xf numFmtId="0" fontId="32" fillId="3" borderId="0" xfId="0" applyFont="1" applyFill="1" applyBorder="1"/>
    <xf numFmtId="3" fontId="19" fillId="3" borderId="0" xfId="0" applyNumberFormat="1" applyFont="1" applyFill="1" applyBorder="1" applyAlignment="1">
      <alignment horizontal="center"/>
    </xf>
    <xf numFmtId="3" fontId="32" fillId="2" borderId="1" xfId="0" applyNumberFormat="1" applyFont="1" applyFill="1" applyBorder="1"/>
    <xf numFmtId="166" fontId="32" fillId="3" borderId="0" xfId="0" applyNumberFormat="1" applyFont="1" applyFill="1" applyBorder="1"/>
    <xf numFmtId="169" fontId="32" fillId="2" borderId="1" xfId="1" applyNumberFormat="1" applyFont="1" applyFill="1" applyBorder="1"/>
    <xf numFmtId="3" fontId="32" fillId="2" borderId="3" xfId="0" applyNumberFormat="1" applyFont="1" applyFill="1" applyBorder="1"/>
    <xf numFmtId="0" fontId="39" fillId="4" borderId="1" xfId="0" applyFont="1" applyFill="1" applyBorder="1"/>
    <xf numFmtId="0" fontId="32" fillId="4" borderId="1" xfId="0" applyFont="1" applyFill="1" applyBorder="1"/>
    <xf numFmtId="167" fontId="32" fillId="4" borderId="1" xfId="0" applyNumberFormat="1" applyFont="1" applyFill="1" applyBorder="1"/>
    <xf numFmtId="3" fontId="32" fillId="3" borderId="1" xfId="0" applyNumberFormat="1" applyFont="1" applyFill="1" applyBorder="1"/>
    <xf numFmtId="167" fontId="32" fillId="4" borderId="12" xfId="0" applyNumberFormat="1" applyFont="1" applyFill="1" applyBorder="1"/>
    <xf numFmtId="166" fontId="32" fillId="4" borderId="3" xfId="0" applyNumberFormat="1" applyFont="1" applyFill="1" applyBorder="1"/>
    <xf numFmtId="166" fontId="32" fillId="4" borderId="1" xfId="0" applyNumberFormat="1" applyFont="1" applyFill="1" applyBorder="1"/>
    <xf numFmtId="0" fontId="2" fillId="3" borderId="21" xfId="0" applyFont="1" applyFill="1" applyBorder="1" applyAlignment="1">
      <alignment horizontal="center"/>
    </xf>
    <xf numFmtId="0" fontId="2" fillId="3" borderId="18" xfId="0" applyFont="1" applyFill="1" applyBorder="1" applyAlignment="1">
      <alignment horizontal="center"/>
    </xf>
    <xf numFmtId="0" fontId="14" fillId="3" borderId="21" xfId="0" applyFont="1" applyFill="1" applyBorder="1" applyAlignment="1">
      <alignment horizontal="center"/>
    </xf>
    <xf numFmtId="0" fontId="14" fillId="3" borderId="18" xfId="0" applyFont="1" applyFill="1" applyBorder="1" applyAlignment="1">
      <alignment horizontal="center"/>
    </xf>
    <xf numFmtId="0" fontId="46" fillId="0" borderId="0" xfId="0" applyFont="1" applyAlignment="1">
      <alignment horizontal="left" vertical="top" wrapText="1"/>
    </xf>
    <xf numFmtId="0" fontId="35" fillId="0" borderId="0" xfId="0" applyFont="1" applyAlignment="1">
      <alignment vertical="top" wrapText="1"/>
    </xf>
    <xf numFmtId="0" fontId="35" fillId="0" borderId="0" xfId="0" applyFont="1" applyAlignment="1">
      <alignment horizontal="left" vertical="top" wrapText="1"/>
    </xf>
  </cellXfs>
  <cellStyles count="4">
    <cellStyle name="1000-sep (2 dec)" xfId="1" builtinId="3"/>
    <cellStyle name="Normal" xfId="0" builtinId="0"/>
    <cellStyle name="Normal 2" xfId="2"/>
    <cellStyle name="Normal 3"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76200</xdr:colOff>
      <xdr:row>31</xdr:row>
      <xdr:rowOff>76200</xdr:rowOff>
    </xdr:from>
    <xdr:to>
      <xdr:col>5</xdr:col>
      <xdr:colOff>0</xdr:colOff>
      <xdr:row>43</xdr:row>
      <xdr:rowOff>110510</xdr:rowOff>
    </xdr:to>
    <xdr:sp macro="" textlink="">
      <xdr:nvSpPr>
        <xdr:cNvPr id="2049" name="Text Box 1"/>
        <xdr:cNvSpPr txBox="1">
          <a:spLocks noChangeArrowheads="1"/>
        </xdr:cNvSpPr>
      </xdr:nvSpPr>
      <xdr:spPr bwMode="auto">
        <a:xfrm>
          <a:off x="76200" y="6086475"/>
          <a:ext cx="4838700" cy="2019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da-DK" sz="1000" b="0" i="0" u="none" strike="noStrike" baseline="0">
              <a:solidFill>
                <a:srgbClr val="000000"/>
              </a:solidFill>
              <a:latin typeface="Arial"/>
              <a:cs typeface="Arial"/>
            </a:rPr>
            <a:t>1) Det forudsættes at private lodsejere i alt gennemfører 1.600 ha vådområder svarende til ca. 180 t N. Tilskud/afslag gives til lodsejeren af Fødevareministeriet efter høring af vandoplandsstyregruppen. Privat andel forudsættes fordelt forholdsmæssigt til vandoplande efter effektfordelingen.</a:t>
          </a:r>
        </a:p>
        <a:p>
          <a:pPr algn="l" rtl="0">
            <a:lnSpc>
              <a:spcPts val="1100"/>
            </a:lnSpc>
            <a:defRPr sz="1000"/>
          </a:pPr>
          <a:endParaRPr lang="da-DK" sz="1000" b="0" i="0" u="none" strike="noStrike" baseline="0">
            <a:solidFill>
              <a:srgbClr val="000000"/>
            </a:solidFill>
            <a:latin typeface="Arial"/>
            <a:cs typeface="Arial"/>
          </a:endParaRPr>
        </a:p>
        <a:p>
          <a:pPr algn="l" rtl="0">
            <a:lnSpc>
              <a:spcPts val="1100"/>
            </a:lnSpc>
            <a:defRPr sz="1000"/>
          </a:pPr>
          <a:r>
            <a:rPr lang="da-DK" sz="1000" b="0" i="0" u="none" strike="noStrike" baseline="0">
              <a:solidFill>
                <a:srgbClr val="000000"/>
              </a:solidFill>
              <a:latin typeface="Arial"/>
              <a:cs typeface="Arial"/>
            </a:rPr>
            <a:t>2) hektarangivelse samlet pr. hovedvandopland og er vejledende, idet der her er anvendt en N-effektivitet på 113 kg N/ha/år. Ved højere effektivitet kræves færre hektar.</a:t>
          </a:r>
        </a:p>
        <a:p>
          <a:pPr algn="l" rtl="0">
            <a:lnSpc>
              <a:spcPts val="1100"/>
            </a:lnSpc>
            <a:defRPr sz="1000"/>
          </a:pPr>
          <a:endParaRPr lang="da-DK" sz="1000" b="0" i="0" u="none" strike="noStrike" baseline="0">
            <a:solidFill>
              <a:srgbClr val="000000"/>
            </a:solidFill>
            <a:latin typeface="Arial"/>
            <a:cs typeface="Arial"/>
          </a:endParaRPr>
        </a:p>
        <a:p>
          <a:pPr algn="l" rtl="0">
            <a:lnSpc>
              <a:spcPts val="1100"/>
            </a:lnSpc>
            <a:defRPr sz="1000"/>
          </a:pPr>
          <a:r>
            <a:rPr lang="da-DK" sz="1000" b="0" i="0" u="none" strike="noStrike" baseline="0">
              <a:solidFill>
                <a:srgbClr val="000000"/>
              </a:solidFill>
              <a:latin typeface="Arial"/>
              <a:cs typeface="Arial"/>
            </a:rPr>
            <a:t>3) Kommuneandelen udtrykker de udgifter som kommunerne håndterer i projekterne. I tallet indgår ikke midler til "opsøgende arb." idet disse fordeles direkte til kommunerne</a:t>
          </a:r>
        </a:p>
        <a:p>
          <a:pPr algn="l" rtl="0">
            <a:lnSpc>
              <a:spcPts val="1000"/>
            </a:lnSpc>
            <a:defRPr sz="1000"/>
          </a:pPr>
          <a:endParaRPr lang="da-DK" sz="1000" b="0" i="0" u="none" strike="noStrike" baseline="0">
            <a:solidFill>
              <a:srgbClr val="000000"/>
            </a:solidFill>
            <a:latin typeface="Arial"/>
            <a:cs typeface="Arial"/>
          </a:endParaRPr>
        </a:p>
        <a:p>
          <a:pPr algn="l" rtl="0">
            <a:lnSpc>
              <a:spcPts val="1000"/>
            </a:lnSpc>
            <a:defRPr sz="1000"/>
          </a:pPr>
          <a:r>
            <a:rPr lang="da-DK" sz="1000" b="0" i="0" u="none" strike="noStrike" baseline="0">
              <a:solidFill>
                <a:srgbClr val="000000"/>
              </a:solidFill>
              <a:latin typeface="Arial"/>
              <a:cs typeface="Arial"/>
            </a:rPr>
            <a:t>4) P-ådals økonomien skal endnu ikke budgetlægges - afvent nærmere information.</a:t>
          </a:r>
          <a:endParaRPr lang="da-DK"/>
        </a:p>
      </xdr:txBody>
    </xdr:sp>
    <xdr:clientData/>
  </xdr:twoCellAnchor>
  <xdr:twoCellAnchor>
    <xdr:from>
      <xdr:col>6</xdr:col>
      <xdr:colOff>19050</xdr:colOff>
      <xdr:row>31</xdr:row>
      <xdr:rowOff>104775</xdr:rowOff>
    </xdr:from>
    <xdr:to>
      <xdr:col>9</xdr:col>
      <xdr:colOff>329594</xdr:colOff>
      <xdr:row>44</xdr:row>
      <xdr:rowOff>57150</xdr:rowOff>
    </xdr:to>
    <xdr:sp macro="" textlink="">
      <xdr:nvSpPr>
        <xdr:cNvPr id="2050" name="Text Box 2"/>
        <xdr:cNvSpPr txBox="1">
          <a:spLocks noChangeArrowheads="1"/>
        </xdr:cNvSpPr>
      </xdr:nvSpPr>
      <xdr:spPr bwMode="auto">
        <a:xfrm>
          <a:off x="5562600" y="6115050"/>
          <a:ext cx="2324100" cy="20955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da-DK" sz="1000" b="1" i="0" u="none" strike="noStrike" baseline="0">
              <a:solidFill>
                <a:srgbClr val="000000"/>
              </a:solidFill>
              <a:latin typeface="Arial"/>
              <a:cs typeface="Arial"/>
            </a:rPr>
            <a:t>Hovedregnestykke</a:t>
          </a:r>
        </a:p>
        <a:p>
          <a:pPr algn="l" rtl="0">
            <a:defRPr sz="1000"/>
          </a:pPr>
          <a:r>
            <a:rPr lang="da-DK" sz="1000" b="0" i="0" u="none" strike="noStrike" baseline="0">
              <a:solidFill>
                <a:srgbClr val="000000"/>
              </a:solidFill>
              <a:latin typeface="Arial"/>
              <a:cs typeface="Arial"/>
            </a:rPr>
            <a:t>(mio.kr.)</a:t>
          </a:r>
        </a:p>
        <a:p>
          <a:pPr algn="l" rtl="0">
            <a:defRPr sz="1000"/>
          </a:pPr>
          <a:r>
            <a:rPr lang="da-DK" sz="1000" b="0" i="0" u="none" strike="noStrike" baseline="0">
              <a:solidFill>
                <a:srgbClr val="000000"/>
              </a:solidFill>
              <a:latin typeface="Arial"/>
              <a:cs typeface="Arial"/>
            </a:rPr>
            <a:t>I alt vådområder og P-ådale: 1058,2 </a:t>
          </a:r>
        </a:p>
        <a:p>
          <a:pPr algn="l" rtl="0">
            <a:defRPr sz="1000"/>
          </a:pPr>
          <a:r>
            <a:rPr lang="da-DK" sz="1000" b="0" i="0" u="none" strike="noStrike" baseline="0">
              <a:solidFill>
                <a:srgbClr val="000000"/>
              </a:solidFill>
              <a:latin typeface="Arial"/>
              <a:cs typeface="Arial"/>
            </a:rPr>
            <a:t>heraf P-ådale : 82,2</a:t>
          </a:r>
        </a:p>
        <a:p>
          <a:pPr algn="l" rtl="0">
            <a:defRPr sz="1000"/>
          </a:pPr>
          <a:r>
            <a:rPr lang="da-DK" sz="1000" b="0" i="0" u="none" strike="noStrike" baseline="0">
              <a:solidFill>
                <a:srgbClr val="000000"/>
              </a:solidFill>
              <a:latin typeface="Arial"/>
              <a:cs typeface="Arial"/>
            </a:rPr>
            <a:t>heraf vådområder : 976,0</a:t>
          </a:r>
        </a:p>
        <a:p>
          <a:pPr algn="l" rtl="0">
            <a:defRPr sz="1000"/>
          </a:pPr>
          <a:r>
            <a:rPr lang="da-DK" sz="1000" b="0" i="0" u="none" strike="noStrike" baseline="0">
              <a:solidFill>
                <a:srgbClr val="000000"/>
              </a:solidFill>
              <a:latin typeface="Arial"/>
              <a:cs typeface="Arial"/>
            </a:rPr>
            <a:t>…………………................</a:t>
          </a:r>
        </a:p>
        <a:p>
          <a:pPr algn="l" rtl="0">
            <a:defRPr sz="1000"/>
          </a:pPr>
          <a:r>
            <a:rPr lang="da-DK" sz="1000" b="0" i="0" u="none" strike="noStrike" baseline="0">
              <a:solidFill>
                <a:srgbClr val="000000"/>
              </a:solidFill>
              <a:latin typeface="Arial"/>
              <a:cs typeface="Arial"/>
            </a:rPr>
            <a:t>Fsa. vådområder 976,0</a:t>
          </a:r>
        </a:p>
        <a:p>
          <a:pPr algn="l" rtl="0">
            <a:defRPr sz="1000"/>
          </a:pPr>
          <a:r>
            <a:rPr lang="da-DK" sz="1000" b="0" i="0" u="none" strike="noStrike" baseline="0">
              <a:solidFill>
                <a:srgbClr val="000000"/>
              </a:solidFill>
              <a:latin typeface="Arial"/>
              <a:cs typeface="Arial"/>
            </a:rPr>
            <a:t>- heraf opsøgendende.. : 8,8</a:t>
          </a:r>
        </a:p>
        <a:p>
          <a:pPr algn="l" rtl="0">
            <a:defRPr sz="1000"/>
          </a:pPr>
          <a:r>
            <a:rPr lang="da-DK" sz="1000" b="0" i="0" u="none" strike="noStrike" baseline="0">
              <a:solidFill>
                <a:srgbClr val="000000"/>
              </a:solidFill>
              <a:latin typeface="Arial"/>
              <a:cs typeface="Arial"/>
            </a:rPr>
            <a:t>- heraf anlæg private projekter : 40,0</a:t>
          </a:r>
        </a:p>
        <a:p>
          <a:pPr algn="l" rtl="0">
            <a:defRPr sz="1000"/>
          </a:pPr>
          <a:r>
            <a:rPr lang="da-DK" sz="1000" b="0" i="0" u="none" strike="noStrike" baseline="0">
              <a:solidFill>
                <a:srgbClr val="000000"/>
              </a:solidFill>
              <a:latin typeface="Arial"/>
              <a:cs typeface="Arial"/>
            </a:rPr>
            <a:t>- heraf private projekter : 92,4</a:t>
          </a:r>
        </a:p>
        <a:p>
          <a:pPr algn="l" rtl="0">
            <a:defRPr sz="1000"/>
          </a:pPr>
          <a:r>
            <a:rPr lang="da-DK" sz="1000" b="0" i="0" u="none" strike="noStrike" baseline="0">
              <a:solidFill>
                <a:srgbClr val="000000"/>
              </a:solidFill>
              <a:latin typeface="Arial"/>
              <a:cs typeface="Arial"/>
            </a:rPr>
            <a:t>- heraf MIM adm : 10,8</a:t>
          </a:r>
        </a:p>
        <a:p>
          <a:pPr algn="l" rtl="0">
            <a:defRPr sz="1000"/>
          </a:pPr>
          <a:r>
            <a:rPr lang="da-DK" sz="1000" b="0" i="0" u="none" strike="noStrike" baseline="0">
              <a:solidFill>
                <a:srgbClr val="000000"/>
              </a:solidFill>
              <a:latin typeface="Arial"/>
              <a:cs typeface="Arial"/>
            </a:rPr>
            <a:t>Til restfordeling : 824,0 (anvendt ovenfor)</a:t>
          </a:r>
          <a:endParaRPr lang="da-DK"/>
        </a:p>
      </xdr:txBody>
    </xdr:sp>
    <xdr:clientData/>
  </xdr:twoCellAnchor>
  <xdr:twoCellAnchor>
    <xdr:from>
      <xdr:col>12</xdr:col>
      <xdr:colOff>685800</xdr:colOff>
      <xdr:row>30</xdr:row>
      <xdr:rowOff>38100</xdr:rowOff>
    </xdr:from>
    <xdr:to>
      <xdr:col>12</xdr:col>
      <xdr:colOff>685800</xdr:colOff>
      <xdr:row>31</xdr:row>
      <xdr:rowOff>142875</xdr:rowOff>
    </xdr:to>
    <xdr:sp macro="" textlink="">
      <xdr:nvSpPr>
        <xdr:cNvPr id="2237" name="Line 3"/>
        <xdr:cNvSpPr>
          <a:spLocks noChangeShapeType="1"/>
        </xdr:cNvSpPr>
      </xdr:nvSpPr>
      <xdr:spPr bwMode="auto">
        <a:xfrm>
          <a:off x="11468100" y="5886450"/>
          <a:ext cx="0" cy="26670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Q52"/>
  <sheetViews>
    <sheetView tabSelected="1" workbookViewId="0">
      <selection activeCell="G13" sqref="G13"/>
    </sheetView>
  </sheetViews>
  <sheetFormatPr defaultRowHeight="12.75"/>
  <cols>
    <col min="1" max="1" width="6.85546875" customWidth="1"/>
    <col min="2" max="2" width="31.140625" customWidth="1"/>
    <col min="3" max="3" width="15.140625" customWidth="1"/>
    <col min="4" max="4" width="21.140625" customWidth="1"/>
    <col min="5" max="5" width="19.85546875" customWidth="1"/>
    <col min="6" max="6" width="13" customWidth="1"/>
    <col min="7" max="7" width="9" customWidth="1"/>
    <col min="8" max="8" width="11" customWidth="1"/>
    <col min="9" max="9" width="13.42578125" customWidth="1"/>
    <col min="10" max="10" width="15" bestFit="1" customWidth="1"/>
    <col min="11" max="11" width="11.140625" bestFit="1" customWidth="1"/>
    <col min="12" max="12" width="15.7109375" bestFit="1" customWidth="1"/>
    <col min="13" max="13" width="14.7109375" customWidth="1"/>
    <col min="14" max="14" width="11.7109375" customWidth="1"/>
    <col min="15" max="15" width="11" customWidth="1"/>
    <col min="16" max="16" width="7.5703125" customWidth="1"/>
    <col min="17" max="17" width="30.42578125" customWidth="1"/>
  </cols>
  <sheetData>
    <row r="1" spans="1:17" ht="33.75">
      <c r="A1" s="42"/>
      <c r="B1" s="9" t="s">
        <v>42</v>
      </c>
      <c r="C1" s="42"/>
      <c r="D1" s="3"/>
      <c r="E1" s="74"/>
      <c r="F1" s="3"/>
      <c r="G1" s="3"/>
      <c r="H1" s="3"/>
      <c r="I1" s="43" t="s">
        <v>43</v>
      </c>
      <c r="J1" s="3"/>
      <c r="K1" s="3"/>
      <c r="L1" s="3"/>
      <c r="M1" s="3"/>
      <c r="N1" s="183" t="s">
        <v>141</v>
      </c>
      <c r="O1" s="184"/>
      <c r="P1" s="3"/>
      <c r="Q1" s="3"/>
    </row>
    <row r="2" spans="1:17" ht="18">
      <c r="A2" s="3"/>
      <c r="B2" s="48" t="s">
        <v>142</v>
      </c>
      <c r="C2" s="3"/>
      <c r="D2" s="3"/>
      <c r="E2" s="3"/>
      <c r="F2" s="3"/>
      <c r="G2" s="3"/>
      <c r="H2" s="3"/>
      <c r="I2" s="3"/>
      <c r="J2" s="3"/>
      <c r="K2" s="3"/>
      <c r="L2" s="3"/>
      <c r="M2" s="3"/>
      <c r="N2" s="3"/>
      <c r="O2" s="3"/>
      <c r="P2" s="3"/>
      <c r="Q2" s="3"/>
    </row>
    <row r="3" spans="1:17" ht="26.25">
      <c r="A3" s="3"/>
      <c r="B3" s="9" t="s">
        <v>2</v>
      </c>
      <c r="C3" s="3"/>
      <c r="D3" s="32" t="s">
        <v>168</v>
      </c>
      <c r="E3" s="2"/>
      <c r="F3" s="3"/>
      <c r="G3" s="4" t="s">
        <v>0</v>
      </c>
      <c r="H3" s="3"/>
      <c r="I3" s="2">
        <v>14</v>
      </c>
      <c r="J3" s="2"/>
      <c r="K3" s="3"/>
      <c r="L3" s="3"/>
      <c r="M3" s="3"/>
      <c r="N3" s="3"/>
      <c r="O3" s="3"/>
      <c r="P3" s="3"/>
      <c r="Q3" s="3"/>
    </row>
    <row r="4" spans="1:17" ht="14.25">
      <c r="A4" s="3"/>
      <c r="B4" s="3"/>
      <c r="C4" s="65"/>
      <c r="D4" s="4"/>
      <c r="E4" s="4"/>
      <c r="F4" s="4"/>
      <c r="G4" s="4" t="s">
        <v>1</v>
      </c>
      <c r="H4" s="3"/>
      <c r="I4" s="2" t="s">
        <v>191</v>
      </c>
      <c r="J4" s="2"/>
      <c r="K4" s="3"/>
      <c r="L4" s="3"/>
      <c r="M4" s="3"/>
      <c r="N4" s="3"/>
      <c r="O4" s="3"/>
      <c r="P4" s="3"/>
      <c r="Q4" s="3"/>
    </row>
    <row r="5" spans="1:17" ht="15">
      <c r="A5" s="3"/>
      <c r="B5" s="3"/>
      <c r="C5" s="67"/>
      <c r="D5" s="66" t="s">
        <v>44</v>
      </c>
      <c r="E5" s="3"/>
      <c r="F5" s="4"/>
      <c r="G5" s="3"/>
      <c r="H5" s="3"/>
      <c r="I5" s="3"/>
      <c r="J5" s="2" t="s">
        <v>189</v>
      </c>
      <c r="K5" s="2"/>
      <c r="L5" s="2"/>
      <c r="M5" s="2"/>
      <c r="N5" s="3"/>
      <c r="O5" s="11" t="s">
        <v>32</v>
      </c>
      <c r="P5" s="11"/>
      <c r="Q5" s="3"/>
    </row>
    <row r="6" spans="1:17" ht="23.25">
      <c r="A6" s="4"/>
      <c r="B6" s="50" t="s">
        <v>3</v>
      </c>
      <c r="C6" s="4"/>
      <c r="D6" s="4"/>
      <c r="E6" s="4"/>
      <c r="F6" s="4"/>
      <c r="G6" s="3"/>
      <c r="H6" s="3"/>
      <c r="I6" s="3"/>
      <c r="J6" s="3"/>
      <c r="K6" s="3"/>
      <c r="L6" s="3"/>
      <c r="M6" s="3"/>
      <c r="N6" s="3"/>
      <c r="O6" s="3"/>
      <c r="P6" s="3"/>
      <c r="Q6" s="3"/>
    </row>
    <row r="7" spans="1:17" ht="18">
      <c r="A7" s="48" t="s">
        <v>38</v>
      </c>
      <c r="B7" s="12" t="s">
        <v>20</v>
      </c>
      <c r="C7" s="4"/>
      <c r="D7" s="4"/>
      <c r="E7" s="4"/>
      <c r="F7" s="4"/>
      <c r="G7" s="3"/>
      <c r="H7" s="3"/>
      <c r="I7" s="3"/>
      <c r="J7" s="3"/>
      <c r="K7" s="3"/>
      <c r="L7" s="3"/>
      <c r="M7" s="3"/>
      <c r="N7" s="3"/>
      <c r="O7" s="69"/>
      <c r="P7" s="69"/>
      <c r="Q7" s="70"/>
    </row>
    <row r="8" spans="1:17" ht="60.75" thickBot="1">
      <c r="A8" s="5" t="s">
        <v>11</v>
      </c>
      <c r="B8" s="159" t="s">
        <v>131</v>
      </c>
      <c r="C8" s="33" t="s">
        <v>19</v>
      </c>
      <c r="D8" s="33" t="s">
        <v>27</v>
      </c>
      <c r="E8" s="34" t="s">
        <v>4</v>
      </c>
      <c r="F8" s="33" t="s">
        <v>26</v>
      </c>
      <c r="G8" s="159" t="s">
        <v>130</v>
      </c>
      <c r="H8" s="159" t="s">
        <v>129</v>
      </c>
      <c r="I8" s="159" t="s">
        <v>128</v>
      </c>
      <c r="J8" s="33" t="s">
        <v>15</v>
      </c>
      <c r="K8" s="33" t="s">
        <v>16</v>
      </c>
      <c r="L8" s="33" t="s">
        <v>35</v>
      </c>
      <c r="M8" s="159" t="s">
        <v>127</v>
      </c>
      <c r="N8" s="33" t="s">
        <v>5</v>
      </c>
      <c r="O8" s="68" t="s">
        <v>6</v>
      </c>
      <c r="P8" s="160" t="s">
        <v>132</v>
      </c>
      <c r="Q8" s="161" t="s">
        <v>133</v>
      </c>
    </row>
    <row r="9" spans="1:17" ht="15.75">
      <c r="A9" s="42"/>
      <c r="B9" s="42"/>
      <c r="C9" s="10"/>
      <c r="D9" s="10"/>
      <c r="E9" s="13" t="s">
        <v>7</v>
      </c>
      <c r="F9" s="52">
        <f>SUM(F10:F15)</f>
        <v>63.1</v>
      </c>
      <c r="G9" s="14">
        <f>SUM(G10:G15)</f>
        <v>40</v>
      </c>
      <c r="H9" s="52">
        <f>SUM(H10:H15)</f>
        <v>382.9</v>
      </c>
      <c r="I9" s="14">
        <f>SUM(I10:I15)</f>
        <v>2579090</v>
      </c>
      <c r="J9" s="10"/>
      <c r="K9" s="10"/>
      <c r="L9" s="56">
        <f>SUM(L10:L15)</f>
        <v>70573659</v>
      </c>
      <c r="M9" s="56">
        <f>SUM(M10:M15)</f>
        <v>61661659</v>
      </c>
      <c r="N9" s="10"/>
      <c r="O9" s="10"/>
      <c r="P9" s="10"/>
      <c r="Q9" s="10"/>
    </row>
    <row r="10" spans="1:17" ht="15.75">
      <c r="A10" s="188" t="s">
        <v>146</v>
      </c>
      <c r="B10" s="189" t="s">
        <v>147</v>
      </c>
      <c r="C10" s="189" t="s">
        <v>148</v>
      </c>
      <c r="D10" s="189" t="s">
        <v>149</v>
      </c>
      <c r="E10" s="189" t="s">
        <v>150</v>
      </c>
      <c r="F10" s="190">
        <v>6.6</v>
      </c>
      <c r="G10" s="191">
        <v>0</v>
      </c>
      <c r="H10" s="190">
        <v>54</v>
      </c>
      <c r="I10" s="191">
        <v>436369</v>
      </c>
      <c r="J10" s="192">
        <v>40330</v>
      </c>
      <c r="K10" s="192">
        <v>41334</v>
      </c>
      <c r="L10" s="193">
        <v>7074900</v>
      </c>
      <c r="M10" s="191">
        <f>6790400</f>
        <v>6790400</v>
      </c>
      <c r="N10" s="192">
        <v>42076</v>
      </c>
      <c r="O10" s="192">
        <v>43678</v>
      </c>
      <c r="P10" s="192" t="s">
        <v>151</v>
      </c>
      <c r="Q10" s="60" t="s">
        <v>36</v>
      </c>
    </row>
    <row r="11" spans="1:17" ht="15.75">
      <c r="A11" s="188" t="s">
        <v>152</v>
      </c>
      <c r="B11" s="189" t="s">
        <v>153</v>
      </c>
      <c r="C11" s="189" t="s">
        <v>154</v>
      </c>
      <c r="D11" s="189" t="s">
        <v>154</v>
      </c>
      <c r="E11" s="189" t="s">
        <v>155</v>
      </c>
      <c r="F11" s="190">
        <v>30.9</v>
      </c>
      <c r="G11" s="191">
        <v>0</v>
      </c>
      <c r="H11" s="190">
        <v>251</v>
      </c>
      <c r="I11" s="191">
        <v>721350</v>
      </c>
      <c r="J11" s="192">
        <v>40330</v>
      </c>
      <c r="K11" s="192">
        <v>40817</v>
      </c>
      <c r="L11" s="193">
        <v>39364091</v>
      </c>
      <c r="M11" s="191">
        <v>32819091</v>
      </c>
      <c r="N11" s="192">
        <v>41609</v>
      </c>
      <c r="O11" s="192">
        <v>43435</v>
      </c>
      <c r="P11" s="192" t="s">
        <v>151</v>
      </c>
      <c r="Q11" s="60" t="s">
        <v>36</v>
      </c>
    </row>
    <row r="12" spans="1:17" ht="15.75">
      <c r="A12" s="188" t="s">
        <v>156</v>
      </c>
      <c r="B12" s="189" t="s">
        <v>157</v>
      </c>
      <c r="C12" s="189" t="s">
        <v>158</v>
      </c>
      <c r="D12" s="189" t="s">
        <v>158</v>
      </c>
      <c r="E12" s="189" t="s">
        <v>159</v>
      </c>
      <c r="F12" s="190">
        <v>8.1</v>
      </c>
      <c r="G12" s="191">
        <v>49</v>
      </c>
      <c r="H12" s="190">
        <v>20.7</v>
      </c>
      <c r="I12" s="191">
        <f>211145+69000</f>
        <v>280145</v>
      </c>
      <c r="J12" s="192">
        <v>40330</v>
      </c>
      <c r="K12" s="192">
        <v>41760</v>
      </c>
      <c r="L12" s="193">
        <v>8205000</v>
      </c>
      <c r="M12" s="191">
        <v>7600000</v>
      </c>
      <c r="N12" s="192">
        <v>41995</v>
      </c>
      <c r="O12" s="194">
        <v>43465</v>
      </c>
      <c r="P12" s="192" t="s">
        <v>151</v>
      </c>
      <c r="Q12" s="60" t="s">
        <v>36</v>
      </c>
    </row>
    <row r="13" spans="1:17" ht="15.75">
      <c r="A13" s="188" t="s">
        <v>160</v>
      </c>
      <c r="B13" s="189" t="s">
        <v>161</v>
      </c>
      <c r="C13" s="189" t="s">
        <v>158</v>
      </c>
      <c r="D13" s="189" t="s">
        <v>158</v>
      </c>
      <c r="E13" s="189" t="s">
        <v>162</v>
      </c>
      <c r="F13" s="190">
        <v>2.9</v>
      </c>
      <c r="G13" s="195">
        <v>-9</v>
      </c>
      <c r="H13" s="190">
        <v>15</v>
      </c>
      <c r="I13" s="191">
        <v>246472</v>
      </c>
      <c r="J13" s="192">
        <v>40940</v>
      </c>
      <c r="K13" s="192">
        <v>41760</v>
      </c>
      <c r="L13" s="193">
        <v>5072400</v>
      </c>
      <c r="M13" s="191">
        <v>4622400</v>
      </c>
      <c r="N13" s="192">
        <v>41995</v>
      </c>
      <c r="O13" s="194">
        <v>43465</v>
      </c>
      <c r="P13" s="192" t="s">
        <v>151</v>
      </c>
      <c r="Q13" s="60" t="s">
        <v>36</v>
      </c>
    </row>
    <row r="14" spans="1:17" s="1" customFormat="1" ht="15.75">
      <c r="A14" s="188" t="s">
        <v>163</v>
      </c>
      <c r="B14" s="189" t="s">
        <v>164</v>
      </c>
      <c r="C14" s="189" t="s">
        <v>148</v>
      </c>
      <c r="D14" s="189" t="s">
        <v>149</v>
      </c>
      <c r="E14" s="189" t="s">
        <v>150</v>
      </c>
      <c r="F14" s="190">
        <v>0</v>
      </c>
      <c r="G14" s="195">
        <v>0</v>
      </c>
      <c r="H14" s="190">
        <v>0</v>
      </c>
      <c r="I14" s="191">
        <v>494734</v>
      </c>
      <c r="J14" s="192">
        <v>42064</v>
      </c>
      <c r="K14" s="192">
        <v>43164</v>
      </c>
      <c r="L14" s="193" t="s">
        <v>190</v>
      </c>
      <c r="M14" s="191" t="s">
        <v>190</v>
      </c>
      <c r="N14" s="194" t="s">
        <v>190</v>
      </c>
      <c r="O14" s="194" t="s">
        <v>190</v>
      </c>
      <c r="P14" s="194" t="s">
        <v>151</v>
      </c>
      <c r="Q14" s="60" t="s">
        <v>37</v>
      </c>
    </row>
    <row r="15" spans="1:17" ht="16.5" thickBot="1">
      <c r="A15" s="188" t="s">
        <v>165</v>
      </c>
      <c r="B15" s="189" t="s">
        <v>166</v>
      </c>
      <c r="C15" s="189" t="s">
        <v>148</v>
      </c>
      <c r="D15" s="189" t="s">
        <v>149</v>
      </c>
      <c r="E15" s="189" t="s">
        <v>167</v>
      </c>
      <c r="F15" s="190">
        <v>14.6</v>
      </c>
      <c r="G15" s="195">
        <v>0</v>
      </c>
      <c r="H15" s="190">
        <v>42.2</v>
      </c>
      <c r="I15" s="191">
        <v>400020</v>
      </c>
      <c r="J15" s="192">
        <v>40330</v>
      </c>
      <c r="K15" s="192">
        <v>41395</v>
      </c>
      <c r="L15" s="193">
        <v>10857268</v>
      </c>
      <c r="M15" s="191">
        <v>9829768</v>
      </c>
      <c r="N15" s="194">
        <v>42356</v>
      </c>
      <c r="O15" s="194">
        <v>43386</v>
      </c>
      <c r="P15" s="194" t="s">
        <v>151</v>
      </c>
      <c r="Q15" s="60" t="s">
        <v>36</v>
      </c>
    </row>
    <row r="16" spans="1:17" ht="15.75">
      <c r="A16" s="7"/>
      <c r="B16" s="16"/>
      <c r="C16" s="16"/>
      <c r="D16" s="28" t="s">
        <v>31</v>
      </c>
      <c r="E16" s="84"/>
      <c r="F16" s="35"/>
      <c r="G16" s="85">
        <f>F9*1000/H9</f>
        <v>164.79498563593629</v>
      </c>
      <c r="H16" s="29" t="s">
        <v>9</v>
      </c>
      <c r="I16" s="36"/>
      <c r="J16" s="59"/>
      <c r="K16" s="18"/>
      <c r="L16" s="18"/>
      <c r="M16" s="17"/>
      <c r="N16" s="18"/>
      <c r="O16" s="18"/>
      <c r="P16" s="18"/>
      <c r="Q16" s="79"/>
    </row>
    <row r="17" spans="1:17" ht="18.75" thickBot="1">
      <c r="A17" s="48" t="s">
        <v>45</v>
      </c>
      <c r="B17" s="3"/>
      <c r="C17" s="16"/>
      <c r="D17" s="38" t="s">
        <v>8</v>
      </c>
      <c r="E17" s="86"/>
      <c r="F17" s="19"/>
      <c r="G17" s="87">
        <f>(I9+M9)/F9/1000</f>
        <v>1018.0784310618067</v>
      </c>
      <c r="H17" s="20" t="s">
        <v>10</v>
      </c>
      <c r="I17" s="37"/>
      <c r="J17" s="58"/>
      <c r="K17" s="18"/>
      <c r="L17" s="18"/>
      <c r="M17" s="17"/>
      <c r="N17" s="18"/>
      <c r="O17" s="18"/>
      <c r="P17" s="18"/>
      <c r="Q17" s="80"/>
    </row>
    <row r="18" spans="1:17" ht="15.75" customHeight="1">
      <c r="A18" s="188" t="s">
        <v>169</v>
      </c>
      <c r="B18" s="189" t="s">
        <v>170</v>
      </c>
      <c r="C18" s="189" t="s">
        <v>171</v>
      </c>
      <c r="D18" s="189" t="s">
        <v>171</v>
      </c>
      <c r="E18" s="189" t="s">
        <v>171</v>
      </c>
      <c r="F18" s="190">
        <v>6.1</v>
      </c>
      <c r="G18" s="191">
        <v>0</v>
      </c>
      <c r="H18" s="190">
        <v>51</v>
      </c>
      <c r="I18" s="191">
        <v>327439</v>
      </c>
      <c r="J18" s="192">
        <v>41944</v>
      </c>
      <c r="K18" s="192">
        <v>42186</v>
      </c>
      <c r="L18" s="196"/>
      <c r="M18" s="197"/>
      <c r="N18" s="197"/>
      <c r="O18" s="197"/>
      <c r="P18" s="197"/>
      <c r="Q18" s="198"/>
    </row>
    <row r="19" spans="1:17" ht="15.75" customHeight="1">
      <c r="A19" s="64"/>
      <c r="B19" s="64"/>
      <c r="C19" s="64"/>
      <c r="D19" s="64"/>
      <c r="E19" s="64"/>
      <c r="F19" s="64"/>
      <c r="G19" s="64"/>
      <c r="H19" s="64"/>
      <c r="I19" s="76"/>
      <c r="J19" s="64"/>
      <c r="K19" s="64"/>
      <c r="L19" s="58" t="s">
        <v>49</v>
      </c>
      <c r="M19" s="11"/>
      <c r="N19" s="11"/>
      <c r="O19" s="11"/>
      <c r="P19" s="11"/>
      <c r="Q19" s="60"/>
    </row>
    <row r="20" spans="1:17" ht="15.75" customHeight="1">
      <c r="A20" s="64"/>
      <c r="B20" s="64"/>
      <c r="C20" s="64"/>
      <c r="D20" s="64"/>
      <c r="E20" s="64"/>
      <c r="F20" s="64"/>
      <c r="G20" s="64"/>
      <c r="H20" s="64"/>
      <c r="I20" s="76"/>
      <c r="J20" s="64"/>
      <c r="K20" s="64"/>
      <c r="L20" s="58" t="s">
        <v>49</v>
      </c>
      <c r="M20" s="11"/>
      <c r="N20" s="11"/>
      <c r="O20" s="11"/>
      <c r="P20" s="11"/>
      <c r="Q20" s="60"/>
    </row>
    <row r="21" spans="1:17" ht="15.75" customHeight="1">
      <c r="A21" s="64"/>
      <c r="B21" s="64"/>
      <c r="C21" s="64"/>
      <c r="D21" s="64"/>
      <c r="E21" s="64"/>
      <c r="F21" s="64"/>
      <c r="G21" s="64"/>
      <c r="H21" s="64"/>
      <c r="I21" s="76"/>
      <c r="J21" s="64"/>
      <c r="K21" s="64"/>
      <c r="L21" s="58" t="s">
        <v>49</v>
      </c>
      <c r="M21" s="11"/>
      <c r="N21" s="11"/>
      <c r="O21" s="11"/>
      <c r="P21" s="11"/>
      <c r="Q21" s="60"/>
    </row>
    <row r="22" spans="1:17" ht="15.75" customHeight="1" thickBot="1">
      <c r="A22" s="64"/>
      <c r="B22" s="64"/>
      <c r="C22" s="64"/>
      <c r="D22" s="64"/>
      <c r="E22" s="77"/>
      <c r="F22" s="77"/>
      <c r="G22" s="77"/>
      <c r="H22" s="77"/>
      <c r="I22" s="78"/>
      <c r="J22" s="64"/>
      <c r="K22" s="64"/>
      <c r="L22" s="58" t="s">
        <v>49</v>
      </c>
      <c r="M22" s="11"/>
      <c r="N22" s="11"/>
      <c r="O22" s="11"/>
      <c r="P22" s="11"/>
      <c r="Q22" s="60"/>
    </row>
    <row r="23" spans="1:17" ht="16.5" thickBot="1">
      <c r="A23" s="3"/>
      <c r="B23" s="3"/>
      <c r="C23" s="16"/>
      <c r="D23" s="16"/>
      <c r="E23" s="72" t="s">
        <v>46</v>
      </c>
      <c r="F23" s="73">
        <f>SUM(F18:F22)</f>
        <v>6.1</v>
      </c>
      <c r="G23" s="73">
        <f>SUM(G18:G22)</f>
        <v>0</v>
      </c>
      <c r="H23" s="73">
        <f>SUM(H18:H22)</f>
        <v>51</v>
      </c>
      <c r="I23" s="75">
        <f>SUM(I18:I22)</f>
        <v>327439</v>
      </c>
      <c r="J23" s="58"/>
      <c r="K23" s="18"/>
      <c r="L23" s="18"/>
      <c r="M23" s="17"/>
      <c r="N23" s="18"/>
      <c r="O23" s="18"/>
      <c r="P23" s="18"/>
      <c r="Q23" s="16"/>
    </row>
    <row r="24" spans="1:17" ht="18">
      <c r="A24" s="71" t="s">
        <v>39</v>
      </c>
      <c r="B24" s="63"/>
      <c r="C24" s="16"/>
      <c r="D24" s="16"/>
      <c r="E24" s="62"/>
      <c r="F24" s="12"/>
      <c r="G24" s="27"/>
      <c r="H24" s="3"/>
      <c r="I24" s="3"/>
      <c r="J24" s="3"/>
      <c r="K24" s="3"/>
      <c r="L24" s="3"/>
      <c r="M24" s="3"/>
      <c r="N24" s="18"/>
      <c r="O24" s="18"/>
      <c r="P24" s="18"/>
      <c r="Q24" s="16"/>
    </row>
    <row r="25" spans="1:17" ht="16.5" customHeight="1">
      <c r="A25" s="199" t="s">
        <v>172</v>
      </c>
      <c r="B25" s="200" t="s">
        <v>173</v>
      </c>
      <c r="C25" s="201" t="s">
        <v>40</v>
      </c>
      <c r="D25" s="201"/>
      <c r="E25" s="8"/>
      <c r="F25" s="63"/>
      <c r="G25" s="202"/>
      <c r="H25" s="201"/>
      <c r="I25" s="203">
        <v>193367</v>
      </c>
      <c r="J25" s="196" t="s">
        <v>174</v>
      </c>
      <c r="K25" s="204"/>
      <c r="L25" s="205">
        <v>0</v>
      </c>
      <c r="M25" s="203">
        <v>0</v>
      </c>
      <c r="N25" s="204" t="s">
        <v>175</v>
      </c>
      <c r="O25" s="204"/>
      <c r="P25" s="204"/>
      <c r="Q25" s="201" t="s">
        <v>34</v>
      </c>
    </row>
    <row r="26" spans="1:17" ht="15.75">
      <c r="A26" s="199" t="s">
        <v>176</v>
      </c>
      <c r="B26" s="200" t="s">
        <v>177</v>
      </c>
      <c r="C26" s="201" t="s">
        <v>40</v>
      </c>
      <c r="D26" s="201"/>
      <c r="E26" s="8"/>
      <c r="F26" s="63"/>
      <c r="G26" s="202"/>
      <c r="H26" s="201"/>
      <c r="I26" s="206">
        <v>0</v>
      </c>
      <c r="J26" s="196" t="s">
        <v>174</v>
      </c>
      <c r="K26" s="204"/>
      <c r="L26" s="203">
        <v>0</v>
      </c>
      <c r="M26" s="203">
        <v>0</v>
      </c>
      <c r="N26" s="204" t="s">
        <v>175</v>
      </c>
      <c r="O26" s="204"/>
      <c r="P26" s="204"/>
      <c r="Q26" s="201" t="s">
        <v>34</v>
      </c>
    </row>
    <row r="27" spans="1:17" ht="15.75">
      <c r="A27" s="199" t="s">
        <v>178</v>
      </c>
      <c r="B27" s="200" t="s">
        <v>179</v>
      </c>
      <c r="C27" s="201" t="s">
        <v>40</v>
      </c>
      <c r="D27" s="201"/>
      <c r="E27" s="8"/>
      <c r="F27" s="63"/>
      <c r="G27" s="202"/>
      <c r="H27" s="201"/>
      <c r="I27" s="206">
        <v>167835</v>
      </c>
      <c r="J27" s="196" t="s">
        <v>174</v>
      </c>
      <c r="K27" s="204"/>
      <c r="L27" s="203"/>
      <c r="M27" s="203"/>
      <c r="N27" s="204" t="s">
        <v>175</v>
      </c>
      <c r="O27" s="204"/>
      <c r="P27" s="204"/>
      <c r="Q27" s="201" t="s">
        <v>34</v>
      </c>
    </row>
    <row r="28" spans="1:17" ht="15.75">
      <c r="A28" s="199" t="s">
        <v>180</v>
      </c>
      <c r="B28" s="200" t="s">
        <v>181</v>
      </c>
      <c r="C28" s="201"/>
      <c r="D28" s="201"/>
      <c r="E28" s="8"/>
      <c r="F28" s="63"/>
      <c r="G28" s="202"/>
      <c r="H28" s="201"/>
      <c r="I28" s="206">
        <v>0</v>
      </c>
      <c r="J28" s="196"/>
      <c r="K28" s="204"/>
      <c r="L28" s="203"/>
      <c r="M28" s="203"/>
      <c r="N28" s="204"/>
      <c r="O28" s="204"/>
      <c r="P28" s="204"/>
      <c r="Q28" s="201"/>
    </row>
    <row r="29" spans="1:17" ht="15.75">
      <c r="A29" s="199" t="s">
        <v>182</v>
      </c>
      <c r="B29" s="200" t="s">
        <v>183</v>
      </c>
      <c r="C29" s="201" t="s">
        <v>40</v>
      </c>
      <c r="D29" s="201"/>
      <c r="E29" s="8"/>
      <c r="F29" s="63"/>
      <c r="G29" s="202"/>
      <c r="H29" s="201"/>
      <c r="I29" s="206">
        <v>168288</v>
      </c>
      <c r="J29" s="196" t="s">
        <v>174</v>
      </c>
      <c r="K29" s="204"/>
      <c r="L29" s="203"/>
      <c r="M29" s="203"/>
      <c r="N29" s="204" t="s">
        <v>175</v>
      </c>
      <c r="O29" s="204"/>
      <c r="P29" s="204"/>
      <c r="Q29" s="201" t="s">
        <v>34</v>
      </c>
    </row>
    <row r="30" spans="1:17" ht="18.75" thickBot="1">
      <c r="A30" s="49" t="s">
        <v>21</v>
      </c>
      <c r="B30" s="19" t="s">
        <v>47</v>
      </c>
      <c r="C30" s="20"/>
      <c r="D30" s="20"/>
      <c r="E30" s="20"/>
      <c r="F30" s="21"/>
      <c r="G30" s="21"/>
      <c r="H30" s="21"/>
      <c r="I30" s="17"/>
      <c r="J30" s="18"/>
      <c r="K30" s="18"/>
      <c r="L30" s="18"/>
      <c r="M30" s="17"/>
      <c r="N30" s="18"/>
      <c r="O30" s="18"/>
      <c r="P30" s="18"/>
      <c r="Q30" s="16"/>
    </row>
    <row r="31" spans="1:17" ht="15.75">
      <c r="A31" s="8"/>
      <c r="B31" s="12"/>
      <c r="C31" s="16"/>
      <c r="D31" s="8" t="s">
        <v>29</v>
      </c>
      <c r="E31" s="22" t="s">
        <v>7</v>
      </c>
      <c r="F31" s="53">
        <f>SUM(F32:F34)</f>
        <v>0</v>
      </c>
      <c r="G31" s="23">
        <f>SUM(G32:G34)</f>
        <v>0</v>
      </c>
      <c r="H31" s="53">
        <f>SUM(H32:H34)</f>
        <v>75</v>
      </c>
      <c r="I31" s="17"/>
      <c r="J31" s="18"/>
      <c r="K31" s="18"/>
      <c r="L31" s="18"/>
      <c r="M31" s="17"/>
      <c r="N31" s="18"/>
      <c r="O31" s="18"/>
      <c r="P31" s="18"/>
      <c r="Q31" s="16"/>
    </row>
    <row r="32" spans="1:17" ht="15">
      <c r="A32" s="6"/>
      <c r="B32" s="24"/>
      <c r="C32" s="24"/>
      <c r="D32" s="24"/>
      <c r="E32" s="24"/>
      <c r="F32" s="54"/>
      <c r="G32" s="15"/>
      <c r="H32" s="55"/>
      <c r="I32" s="18"/>
      <c r="J32" s="18"/>
      <c r="K32" s="18"/>
      <c r="L32" s="18"/>
      <c r="M32" s="18"/>
      <c r="N32" s="25"/>
      <c r="O32" s="26"/>
      <c r="P32" s="26"/>
      <c r="Q32" s="24"/>
    </row>
    <row r="33" spans="1:17" ht="15">
      <c r="A33" s="207" t="s">
        <v>184</v>
      </c>
      <c r="B33" s="208" t="s">
        <v>185</v>
      </c>
      <c r="C33" s="208" t="s">
        <v>186</v>
      </c>
      <c r="D33" s="208" t="s">
        <v>187</v>
      </c>
      <c r="E33" s="208" t="s">
        <v>188</v>
      </c>
      <c r="F33" s="209"/>
      <c r="G33" s="210"/>
      <c r="H33" s="211">
        <v>75</v>
      </c>
      <c r="I33" s="204"/>
      <c r="J33" s="204"/>
      <c r="K33" s="204"/>
      <c r="L33" s="204"/>
      <c r="M33" s="204"/>
      <c r="N33" s="212" t="s">
        <v>34</v>
      </c>
      <c r="O33" s="213"/>
      <c r="P33" s="213" t="s">
        <v>151</v>
      </c>
      <c r="Q33" s="208" t="s">
        <v>14</v>
      </c>
    </row>
    <row r="34" spans="1:17" ht="15.75" thickBot="1">
      <c r="A34" s="6"/>
      <c r="B34" s="24"/>
      <c r="C34" s="24"/>
      <c r="D34" s="24"/>
      <c r="E34" s="24"/>
      <c r="F34" s="54"/>
      <c r="G34" s="15"/>
      <c r="H34" s="55"/>
      <c r="I34" s="17"/>
      <c r="J34" s="18"/>
      <c r="K34" s="18"/>
      <c r="L34" s="18"/>
      <c r="M34" s="17"/>
      <c r="N34" s="25"/>
      <c r="O34" s="26"/>
      <c r="P34" s="26"/>
      <c r="Q34" s="24"/>
    </row>
    <row r="35" spans="1:17" ht="15.75">
      <c r="A35" s="4"/>
      <c r="B35" s="11"/>
      <c r="C35" s="11"/>
      <c r="D35" s="10"/>
      <c r="E35" s="28" t="s">
        <v>31</v>
      </c>
      <c r="F35" s="29"/>
      <c r="G35" s="51">
        <f>F31*1000/H31</f>
        <v>0</v>
      </c>
      <c r="H35" s="29"/>
      <c r="I35" s="30"/>
      <c r="J35" s="11"/>
      <c r="K35" s="11"/>
      <c r="L35" s="11"/>
      <c r="M35" s="11"/>
      <c r="N35" s="11"/>
      <c r="O35" s="11"/>
      <c r="P35" s="11"/>
      <c r="Q35" s="11"/>
    </row>
    <row r="36" spans="1:17" ht="16.5" thickBot="1">
      <c r="A36" s="5" t="s">
        <v>18</v>
      </c>
      <c r="B36" s="11"/>
      <c r="C36" s="11"/>
      <c r="D36" s="10"/>
      <c r="E36" s="38" t="s">
        <v>8</v>
      </c>
      <c r="F36" s="20"/>
      <c r="G36" s="20" t="s">
        <v>22</v>
      </c>
      <c r="H36" s="20"/>
      <c r="I36" s="31"/>
      <c r="J36" s="11"/>
      <c r="K36" s="11"/>
      <c r="L36" s="11"/>
      <c r="M36" s="11"/>
      <c r="N36" s="11"/>
      <c r="O36" s="11"/>
      <c r="P36" s="11"/>
      <c r="Q36" s="11"/>
    </row>
    <row r="37" spans="1:17" ht="18">
      <c r="A37" s="4">
        <v>1</v>
      </c>
      <c r="B37" s="11" t="s">
        <v>28</v>
      </c>
      <c r="C37" s="11"/>
      <c r="D37" s="11"/>
      <c r="E37" s="10"/>
      <c r="F37" s="10"/>
      <c r="G37" s="27"/>
      <c r="H37" s="11"/>
      <c r="I37" s="11"/>
      <c r="J37" s="11"/>
      <c r="K37" s="11"/>
      <c r="L37" s="11"/>
      <c r="M37" s="11"/>
      <c r="N37" s="39" t="s">
        <v>23</v>
      </c>
      <c r="O37" s="40"/>
      <c r="P37" s="40"/>
      <c r="Q37" s="41"/>
    </row>
    <row r="38" spans="1:17" ht="18">
      <c r="A38" s="4">
        <v>2</v>
      </c>
      <c r="B38" s="11" t="s">
        <v>48</v>
      </c>
      <c r="C38" s="11"/>
      <c r="D38" s="11"/>
      <c r="E38" s="11"/>
      <c r="F38" s="11"/>
      <c r="G38" s="11"/>
      <c r="H38" s="11"/>
      <c r="I38" s="11"/>
      <c r="J38" s="11"/>
      <c r="K38" s="11"/>
      <c r="L38" s="11"/>
      <c r="M38" s="11"/>
      <c r="N38" s="44" t="s">
        <v>30</v>
      </c>
      <c r="O38" s="45"/>
      <c r="P38" s="45"/>
      <c r="Q38" s="61">
        <f>F9+F31</f>
        <v>63.1</v>
      </c>
    </row>
    <row r="39" spans="1:17" ht="18">
      <c r="A39" s="4">
        <v>3</v>
      </c>
      <c r="B39" s="11" t="s">
        <v>17</v>
      </c>
      <c r="C39" s="11"/>
      <c r="D39" s="11"/>
      <c r="E39" s="11"/>
      <c r="F39" s="11"/>
      <c r="G39" s="11"/>
      <c r="H39" s="11"/>
      <c r="I39" s="11"/>
      <c r="J39" s="11"/>
      <c r="K39" s="11"/>
      <c r="L39" s="11"/>
      <c r="M39" s="11"/>
      <c r="N39" s="44" t="s">
        <v>24</v>
      </c>
      <c r="O39" s="45"/>
      <c r="P39" s="45"/>
      <c r="Q39" s="46">
        <f>H9+H31</f>
        <v>457.9</v>
      </c>
    </row>
    <row r="40" spans="1:17" ht="18">
      <c r="A40" s="4">
        <v>4</v>
      </c>
      <c r="B40" s="11" t="s">
        <v>105</v>
      </c>
      <c r="C40" s="11"/>
      <c r="D40" s="11"/>
      <c r="E40" s="11"/>
      <c r="F40" s="11"/>
      <c r="G40" s="11"/>
      <c r="H40" s="11"/>
      <c r="I40" s="11"/>
      <c r="J40" s="11"/>
      <c r="K40" s="11"/>
      <c r="L40" s="11"/>
      <c r="M40" s="11"/>
      <c r="N40" s="44" t="s">
        <v>111</v>
      </c>
      <c r="O40" s="45"/>
      <c r="P40" s="45"/>
      <c r="Q40" s="47">
        <f>Q38*1000/Q39</f>
        <v>137.80301375846255</v>
      </c>
    </row>
    <row r="41" spans="1:17" ht="18.75" thickBot="1">
      <c r="A41" s="4"/>
      <c r="B41" s="11" t="s">
        <v>25</v>
      </c>
      <c r="C41" s="11"/>
      <c r="D41" s="11"/>
      <c r="E41" s="11"/>
      <c r="F41" s="11"/>
      <c r="G41" s="11"/>
      <c r="H41" s="11"/>
      <c r="I41" s="11"/>
      <c r="J41" s="11"/>
      <c r="K41" s="11"/>
      <c r="L41" s="11"/>
      <c r="M41" s="11"/>
      <c r="N41" s="44" t="s">
        <v>110</v>
      </c>
      <c r="O41" s="45"/>
      <c r="P41" s="45"/>
      <c r="Q41" s="46">
        <f>I9+M9+I29+M29+I23</f>
        <v>64736476</v>
      </c>
    </row>
    <row r="42" spans="1:17" ht="18.75" thickBot="1">
      <c r="A42" s="4"/>
      <c r="B42" s="11" t="s">
        <v>41</v>
      </c>
      <c r="C42" s="11"/>
      <c r="D42" s="11"/>
      <c r="E42" s="11"/>
      <c r="F42" s="11"/>
      <c r="G42" s="11"/>
      <c r="H42" s="11"/>
      <c r="I42" s="11"/>
      <c r="J42" s="11"/>
      <c r="K42" s="11"/>
      <c r="L42" s="11"/>
      <c r="M42" s="11"/>
      <c r="N42" s="81" t="s">
        <v>50</v>
      </c>
      <c r="O42" s="82"/>
      <c r="P42" s="82"/>
      <c r="Q42" s="83">
        <f>F23/F9</f>
        <v>9.6671949286846262E-2</v>
      </c>
    </row>
    <row r="43" spans="1:17" ht="18">
      <c r="A43" s="4"/>
      <c r="B43" s="11" t="s">
        <v>106</v>
      </c>
      <c r="C43" s="11"/>
      <c r="D43" s="11"/>
      <c r="E43" s="11"/>
      <c r="F43" s="11"/>
      <c r="G43" s="11"/>
      <c r="H43" s="11"/>
      <c r="I43" s="11"/>
      <c r="J43" s="11"/>
      <c r="K43" s="11"/>
      <c r="L43" s="11"/>
      <c r="M43" s="11"/>
      <c r="N43" s="156"/>
      <c r="O43" s="156"/>
      <c r="P43" s="156"/>
      <c r="Q43" s="157"/>
    </row>
    <row r="44" spans="1:17" ht="18">
      <c r="A44" s="3"/>
      <c r="B44" s="11" t="s">
        <v>107</v>
      </c>
      <c r="C44" s="3"/>
      <c r="D44" s="3"/>
      <c r="E44" s="3"/>
      <c r="F44" s="3"/>
      <c r="G44" s="3"/>
      <c r="H44" s="3"/>
      <c r="I44" s="3"/>
      <c r="J44" s="3"/>
      <c r="K44" s="3"/>
      <c r="L44" s="3"/>
      <c r="M44" s="3"/>
      <c r="N44" s="45"/>
      <c r="O44" s="45"/>
      <c r="P44" s="45"/>
      <c r="Q44" s="88"/>
    </row>
    <row r="45" spans="1:17" ht="15">
      <c r="A45" s="3"/>
      <c r="B45" s="11" t="s">
        <v>108</v>
      </c>
      <c r="C45" s="3"/>
      <c r="D45" s="3"/>
      <c r="E45" s="3"/>
      <c r="F45" s="3"/>
      <c r="G45" s="3"/>
      <c r="H45" s="3"/>
      <c r="I45" s="3"/>
      <c r="J45" s="3"/>
      <c r="K45" s="3"/>
      <c r="L45" s="3"/>
      <c r="M45" s="3"/>
      <c r="N45" s="89"/>
      <c r="O45" s="89"/>
      <c r="P45" s="89"/>
      <c r="Q45" s="89"/>
    </row>
    <row r="46" spans="1:17" s="57" customFormat="1" ht="15">
      <c r="A46" s="3"/>
      <c r="B46" s="3" t="s">
        <v>109</v>
      </c>
      <c r="C46" s="11" t="s">
        <v>51</v>
      </c>
      <c r="D46" s="3"/>
      <c r="E46" s="3"/>
      <c r="F46" s="3"/>
      <c r="G46" s="3"/>
      <c r="H46" s="3"/>
      <c r="I46" s="3"/>
      <c r="J46" s="3"/>
      <c r="K46" s="3"/>
      <c r="L46" s="3"/>
      <c r="M46" s="3"/>
      <c r="N46" s="3"/>
      <c r="O46" s="3"/>
      <c r="P46" s="3"/>
      <c r="Q46" s="3"/>
    </row>
    <row r="47" spans="1:17">
      <c r="Q47" t="s">
        <v>13</v>
      </c>
    </row>
    <row r="48" spans="1:17">
      <c r="Q48" t="s">
        <v>12</v>
      </c>
    </row>
    <row r="49" spans="17:17">
      <c r="Q49" t="s">
        <v>37</v>
      </c>
    </row>
    <row r="50" spans="17:17">
      <c r="Q50" t="s">
        <v>14</v>
      </c>
    </row>
    <row r="51" spans="17:17">
      <c r="Q51" t="s">
        <v>36</v>
      </c>
    </row>
    <row r="52" spans="17:17">
      <c r="Q52" t="s">
        <v>33</v>
      </c>
    </row>
  </sheetData>
  <phoneticPr fontId="3" type="noConversion"/>
  <dataValidations count="5">
    <dataValidation type="list" allowBlank="1" showInputMessage="1" showErrorMessage="1" sqref="Q19:Q22">
      <formula1>$Q$47:$Q$52</formula1>
    </dataValidation>
    <dataValidation type="list" allowBlank="1" showInputMessage="1" showErrorMessage="1" sqref="Q23 Q34 Q30:Q32">
      <formula1>$Q$47:$Q$50</formula1>
    </dataValidation>
    <dataValidation type="list" allowBlank="1" showInputMessage="1" showErrorMessage="1" sqref="Q18">
      <formula1>$Q$89:$Q$94</formula1>
    </dataValidation>
    <dataValidation type="list" allowBlank="1" showInputMessage="1" showErrorMessage="1" sqref="Q33">
      <formula1>$Q$89:$Q$92</formula1>
    </dataValidation>
    <dataValidation type="list" allowBlank="1" showInputMessage="1" showErrorMessage="1" sqref="Q10:Q15">
      <formula1>$Q$45:$Q$50</formula1>
    </dataValidation>
  </dataValidations>
  <printOptions gridLines="1"/>
  <pageMargins left="0.45" right="0.16" top="0.2" bottom="0.39" header="0" footer="0"/>
  <pageSetup paperSize="9" scale="55" orientation="landscape" r:id="rId1"/>
  <headerFooter alignWithMargins="0"/>
  <cellWatches>
    <cellWatch r="Q47"/>
  </cellWatche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44"/>
  <sheetViews>
    <sheetView workbookViewId="0"/>
  </sheetViews>
  <sheetFormatPr defaultColWidth="15.7109375" defaultRowHeight="12.75"/>
  <cols>
    <col min="1" max="1" width="28.28515625" style="147" customWidth="1"/>
    <col min="2" max="2" width="12.5703125" style="91" bestFit="1" customWidth="1"/>
    <col min="3" max="3" width="12.5703125" style="91" customWidth="1"/>
    <col min="4" max="4" width="8.28515625" style="91" bestFit="1" customWidth="1"/>
    <col min="5" max="5" width="12" style="92" bestFit="1" customWidth="1"/>
    <col min="6" max="6" width="9.42578125" style="92" customWidth="1"/>
    <col min="7" max="7" width="11.28515625" style="92" customWidth="1"/>
    <col min="8" max="8" width="11" style="92" bestFit="1" customWidth="1"/>
    <col min="9" max="9" width="7.85546875" style="92" bestFit="1" customWidth="1"/>
    <col min="10" max="10" width="13.7109375" style="92" bestFit="1" customWidth="1"/>
    <col min="11" max="11" width="17.85546875" style="92" customWidth="1"/>
    <col min="12" max="12" width="16.85546875" style="92" customWidth="1"/>
    <col min="13" max="13" width="13.85546875" style="92" customWidth="1"/>
    <col min="14" max="16384" width="15.7109375" style="92"/>
  </cols>
  <sheetData>
    <row r="1" spans="1:13" ht="18">
      <c r="A1" s="90" t="s">
        <v>52</v>
      </c>
    </row>
    <row r="2" spans="1:13">
      <c r="A2" s="93" t="s">
        <v>53</v>
      </c>
    </row>
    <row r="3" spans="1:13" ht="13.5" thickBot="1">
      <c r="A3" s="93" t="s">
        <v>54</v>
      </c>
    </row>
    <row r="4" spans="1:13" ht="16.5" thickBot="1">
      <c r="A4" s="93"/>
      <c r="B4" s="94" t="s">
        <v>55</v>
      </c>
      <c r="C4" s="95"/>
      <c r="D4" s="95"/>
      <c r="E4" s="96"/>
      <c r="F4" s="96"/>
      <c r="G4" s="97"/>
      <c r="H4" s="98" t="s">
        <v>56</v>
      </c>
      <c r="I4" s="96"/>
      <c r="J4" s="96"/>
      <c r="K4" s="96"/>
      <c r="L4" s="98" t="s">
        <v>57</v>
      </c>
      <c r="M4" s="97"/>
    </row>
    <row r="5" spans="1:13" s="1" customFormat="1" ht="35.25" customHeight="1">
      <c r="A5" s="99" t="s">
        <v>58</v>
      </c>
      <c r="B5" s="214" t="s">
        <v>59</v>
      </c>
      <c r="C5" s="215"/>
      <c r="D5" s="215"/>
      <c r="E5" s="100" t="s">
        <v>60</v>
      </c>
      <c r="F5" s="101" t="s">
        <v>61</v>
      </c>
      <c r="G5" s="102" t="s">
        <v>62</v>
      </c>
      <c r="H5" s="216" t="s">
        <v>59</v>
      </c>
      <c r="I5" s="217"/>
      <c r="J5" s="103" t="s">
        <v>63</v>
      </c>
      <c r="K5" s="104" t="s">
        <v>64</v>
      </c>
      <c r="L5" s="105" t="s">
        <v>65</v>
      </c>
      <c r="M5" s="106" t="s">
        <v>66</v>
      </c>
    </row>
    <row r="6" spans="1:13" s="119" customFormat="1" ht="51">
      <c r="A6" s="107"/>
      <c r="B6" s="108" t="s">
        <v>67</v>
      </c>
      <c r="C6" s="109" t="s">
        <v>68</v>
      </c>
      <c r="D6" s="110" t="s">
        <v>69</v>
      </c>
      <c r="E6" s="111" t="s">
        <v>70</v>
      </c>
      <c r="F6" s="111" t="s">
        <v>70</v>
      </c>
      <c r="G6" s="112" t="s">
        <v>70</v>
      </c>
      <c r="H6" s="113" t="s">
        <v>71</v>
      </c>
      <c r="I6" s="114" t="s">
        <v>72</v>
      </c>
      <c r="J6" s="115" t="s">
        <v>73</v>
      </c>
      <c r="K6" s="116" t="s">
        <v>73</v>
      </c>
      <c r="L6" s="117" t="s">
        <v>70</v>
      </c>
      <c r="M6" s="118" t="s">
        <v>74</v>
      </c>
    </row>
    <row r="7" spans="1:13" ht="15" customHeight="1">
      <c r="A7" s="120" t="s">
        <v>75</v>
      </c>
      <c r="B7" s="121">
        <v>0</v>
      </c>
      <c r="C7" s="122">
        <f>B7-(180*(B7/1131))</f>
        <v>0</v>
      </c>
      <c r="D7" s="123">
        <v>0</v>
      </c>
      <c r="E7" s="124">
        <f t="shared" ref="E7:E29" si="0">(B7/$B$30)*967.2</f>
        <v>0</v>
      </c>
      <c r="F7" s="124">
        <f>B7/$B$30*824</f>
        <v>0</v>
      </c>
      <c r="G7" s="125">
        <f t="shared" ref="G7:G29" si="1">B7/$B$30*215</f>
        <v>0</v>
      </c>
      <c r="H7" s="126">
        <v>90</v>
      </c>
      <c r="I7" s="127">
        <v>9</v>
      </c>
      <c r="J7" s="128">
        <f t="shared" ref="J7:J29" si="2">H7/$H$30*81.5*1000</f>
        <v>268.27840971434841</v>
      </c>
      <c r="K7" s="129">
        <f t="shared" ref="K7:K29" si="3">H7/$H$30*13.5*1000</f>
        <v>44.438754983358329</v>
      </c>
      <c r="L7" s="130">
        <f>E7+J7/1000</f>
        <v>0.26827840971434841</v>
      </c>
      <c r="M7" s="131">
        <f t="shared" ref="M7:M29" si="4">G7+(K7/1000)</f>
        <v>4.4438754983358329E-2</v>
      </c>
    </row>
    <row r="8" spans="1:13">
      <c r="A8" s="132" t="s">
        <v>76</v>
      </c>
      <c r="B8" s="121">
        <v>415</v>
      </c>
      <c r="C8" s="122">
        <f>B8-(180*(B8/1131))</f>
        <v>348.9522546419098</v>
      </c>
      <c r="D8" s="123">
        <v>3676</v>
      </c>
      <c r="E8" s="124">
        <f t="shared" si="0"/>
        <v>354.89655172413791</v>
      </c>
      <c r="F8" s="124">
        <f t="shared" ref="F8:F29" si="5">B8/$B$30*824</f>
        <v>302.35190097259061</v>
      </c>
      <c r="G8" s="125">
        <f t="shared" si="1"/>
        <v>78.89036251105216</v>
      </c>
      <c r="H8" s="126">
        <v>6249</v>
      </c>
      <c r="I8" s="127">
        <v>625</v>
      </c>
      <c r="J8" s="128">
        <f t="shared" si="2"/>
        <v>18627.464247832926</v>
      </c>
      <c r="K8" s="129">
        <f t="shared" si="3"/>
        <v>3085.5308876778467</v>
      </c>
      <c r="L8" s="130">
        <v>373.7</v>
      </c>
      <c r="M8" s="131">
        <f t="shared" si="4"/>
        <v>81.975893398730008</v>
      </c>
    </row>
    <row r="9" spans="1:13">
      <c r="A9" s="132" t="s">
        <v>77</v>
      </c>
      <c r="B9" s="121">
        <v>39</v>
      </c>
      <c r="C9" s="122">
        <f t="shared" ref="C9:C29" si="6">B9-(180*(B9/1131))</f>
        <v>32.793103448275865</v>
      </c>
      <c r="D9" s="123">
        <v>343</v>
      </c>
      <c r="E9" s="124">
        <f t="shared" si="0"/>
        <v>33.351724137931036</v>
      </c>
      <c r="F9" s="124">
        <f t="shared" si="5"/>
        <v>28.413793103448274</v>
      </c>
      <c r="G9" s="125">
        <f t="shared" si="1"/>
        <v>7.4137931034482758</v>
      </c>
      <c r="H9" s="126">
        <v>600</v>
      </c>
      <c r="I9" s="127">
        <v>60</v>
      </c>
      <c r="J9" s="128">
        <f t="shared" si="2"/>
        <v>1788.5227314289893</v>
      </c>
      <c r="K9" s="129">
        <f t="shared" si="3"/>
        <v>296.2583665557222</v>
      </c>
      <c r="L9" s="130">
        <f t="shared" ref="L9:L29" si="7">E9+J9/1000</f>
        <v>35.140246869360027</v>
      </c>
      <c r="M9" s="131">
        <f t="shared" si="4"/>
        <v>7.7100514700039984</v>
      </c>
    </row>
    <row r="10" spans="1:13">
      <c r="A10" s="132" t="s">
        <v>78</v>
      </c>
      <c r="B10" s="121">
        <v>40</v>
      </c>
      <c r="C10" s="122">
        <f t="shared" si="6"/>
        <v>33.633952254641912</v>
      </c>
      <c r="D10" s="123">
        <v>352</v>
      </c>
      <c r="E10" s="124">
        <f t="shared" si="0"/>
        <v>34.206896551724142</v>
      </c>
      <c r="F10" s="124">
        <f t="shared" si="5"/>
        <v>29.142351900972592</v>
      </c>
      <c r="G10" s="125">
        <f t="shared" si="1"/>
        <v>7.6038903625110521</v>
      </c>
      <c r="H10" s="126">
        <v>0</v>
      </c>
      <c r="I10" s="127">
        <v>0</v>
      </c>
      <c r="J10" s="128">
        <f t="shared" si="2"/>
        <v>0</v>
      </c>
      <c r="K10" s="129">
        <f t="shared" si="3"/>
        <v>0</v>
      </c>
      <c r="L10" s="130">
        <f t="shared" si="7"/>
        <v>34.206896551724142</v>
      </c>
      <c r="M10" s="131">
        <f t="shared" si="4"/>
        <v>7.6038903625110521</v>
      </c>
    </row>
    <row r="11" spans="1:13">
      <c r="A11" s="132" t="s">
        <v>79</v>
      </c>
      <c r="B11" s="121">
        <v>91</v>
      </c>
      <c r="C11" s="122">
        <f t="shared" si="6"/>
        <v>76.517241379310349</v>
      </c>
      <c r="D11" s="123">
        <v>807</v>
      </c>
      <c r="E11" s="124">
        <f t="shared" si="0"/>
        <v>77.820689655172416</v>
      </c>
      <c r="F11" s="124">
        <f t="shared" si="5"/>
        <v>66.298850574712645</v>
      </c>
      <c r="G11" s="125">
        <f t="shared" si="1"/>
        <v>17.298850574712642</v>
      </c>
      <c r="H11" s="126">
        <v>2598</v>
      </c>
      <c r="I11" s="127">
        <v>260</v>
      </c>
      <c r="J11" s="128">
        <f t="shared" si="2"/>
        <v>7744.3034270875251</v>
      </c>
      <c r="K11" s="129">
        <f t="shared" si="3"/>
        <v>1282.7987271862771</v>
      </c>
      <c r="L11" s="130">
        <f t="shared" si="7"/>
        <v>85.564993082259946</v>
      </c>
      <c r="M11" s="131">
        <f t="shared" si="4"/>
        <v>18.581649301898921</v>
      </c>
    </row>
    <row r="12" spans="1:13">
      <c r="A12" s="132" t="s">
        <v>80</v>
      </c>
      <c r="B12" s="121">
        <v>0</v>
      </c>
      <c r="C12" s="122">
        <f t="shared" si="6"/>
        <v>0</v>
      </c>
      <c r="D12" s="123">
        <v>0</v>
      </c>
      <c r="E12" s="124">
        <f t="shared" si="0"/>
        <v>0</v>
      </c>
      <c r="F12" s="124">
        <f t="shared" si="5"/>
        <v>0</v>
      </c>
      <c r="G12" s="125">
        <f t="shared" si="1"/>
        <v>0</v>
      </c>
      <c r="H12" s="126">
        <v>20</v>
      </c>
      <c r="I12" s="127">
        <v>2</v>
      </c>
      <c r="J12" s="128">
        <f t="shared" si="2"/>
        <v>59.61742438096632</v>
      </c>
      <c r="K12" s="129">
        <f t="shared" si="3"/>
        <v>9.87527888519074</v>
      </c>
      <c r="L12" s="130">
        <f t="shared" si="7"/>
        <v>5.9617424380966316E-2</v>
      </c>
      <c r="M12" s="131">
        <f t="shared" si="4"/>
        <v>9.8752788851907396E-3</v>
      </c>
    </row>
    <row r="13" spans="1:13">
      <c r="A13" s="132" t="s">
        <v>81</v>
      </c>
      <c r="B13" s="121">
        <v>0</v>
      </c>
      <c r="C13" s="122">
        <f t="shared" si="6"/>
        <v>0</v>
      </c>
      <c r="D13" s="123">
        <v>0</v>
      </c>
      <c r="E13" s="124">
        <f t="shared" si="0"/>
        <v>0</v>
      </c>
      <c r="F13" s="124">
        <f t="shared" si="5"/>
        <v>0</v>
      </c>
      <c r="G13" s="125">
        <f t="shared" si="1"/>
        <v>0</v>
      </c>
      <c r="H13" s="126">
        <v>280</v>
      </c>
      <c r="I13" s="127">
        <v>28</v>
      </c>
      <c r="J13" s="128">
        <f t="shared" si="2"/>
        <v>834.64394133352835</v>
      </c>
      <c r="K13" s="129">
        <f t="shared" si="3"/>
        <v>138.25390439267036</v>
      </c>
      <c r="L13" s="130">
        <f t="shared" si="7"/>
        <v>0.83464394133352837</v>
      </c>
      <c r="M13" s="131">
        <f t="shared" si="4"/>
        <v>0.13825390439267035</v>
      </c>
    </row>
    <row r="14" spans="1:13">
      <c r="A14" s="132" t="s">
        <v>82</v>
      </c>
      <c r="B14" s="121">
        <v>69</v>
      </c>
      <c r="C14" s="122">
        <f t="shared" si="6"/>
        <v>58.018567639257299</v>
      </c>
      <c r="D14" s="123">
        <v>612</v>
      </c>
      <c r="E14" s="124">
        <f t="shared" si="0"/>
        <v>59.006896551724139</v>
      </c>
      <c r="F14" s="124">
        <f t="shared" si="5"/>
        <v>50.270557029177716</v>
      </c>
      <c r="G14" s="125">
        <f t="shared" si="1"/>
        <v>13.116710875331565</v>
      </c>
      <c r="H14" s="126">
        <v>1990</v>
      </c>
      <c r="I14" s="127">
        <v>199</v>
      </c>
      <c r="J14" s="128">
        <f t="shared" si="2"/>
        <v>5931.9337259061485</v>
      </c>
      <c r="K14" s="129">
        <f t="shared" si="3"/>
        <v>982.59024907647847</v>
      </c>
      <c r="L14" s="130">
        <f t="shared" si="7"/>
        <v>64.938830277630288</v>
      </c>
      <c r="M14" s="131">
        <f t="shared" si="4"/>
        <v>14.099301124408044</v>
      </c>
    </row>
    <row r="15" spans="1:13">
      <c r="A15" s="132" t="s">
        <v>83</v>
      </c>
      <c r="B15" s="121">
        <v>28</v>
      </c>
      <c r="C15" s="122">
        <f t="shared" si="6"/>
        <v>23.543766578249336</v>
      </c>
      <c r="D15" s="123">
        <v>248</v>
      </c>
      <c r="E15" s="124">
        <f t="shared" si="0"/>
        <v>23.944827586206898</v>
      </c>
      <c r="F15" s="124">
        <f t="shared" si="5"/>
        <v>20.399646330680813</v>
      </c>
      <c r="G15" s="125">
        <f t="shared" si="1"/>
        <v>5.3227232537577365</v>
      </c>
      <c r="H15" s="126">
        <v>90</v>
      </c>
      <c r="I15" s="127">
        <v>9</v>
      </c>
      <c r="J15" s="128">
        <f t="shared" si="2"/>
        <v>268.27840971434841</v>
      </c>
      <c r="K15" s="129">
        <f t="shared" si="3"/>
        <v>44.438754983358329</v>
      </c>
      <c r="L15" s="130">
        <f t="shared" si="7"/>
        <v>24.213105995921246</v>
      </c>
      <c r="M15" s="131">
        <f t="shared" si="4"/>
        <v>5.3671620087410945</v>
      </c>
    </row>
    <row r="16" spans="1:13">
      <c r="A16" s="132" t="s">
        <v>84</v>
      </c>
      <c r="B16" s="121">
        <v>0</v>
      </c>
      <c r="C16" s="122">
        <f t="shared" si="6"/>
        <v>0</v>
      </c>
      <c r="D16" s="123">
        <v>0</v>
      </c>
      <c r="E16" s="124">
        <f t="shared" si="0"/>
        <v>0</v>
      </c>
      <c r="F16" s="124">
        <f t="shared" si="5"/>
        <v>0</v>
      </c>
      <c r="G16" s="125">
        <f t="shared" si="1"/>
        <v>0</v>
      </c>
      <c r="H16" s="126">
        <v>209</v>
      </c>
      <c r="I16" s="127">
        <v>21</v>
      </c>
      <c r="J16" s="128">
        <f t="shared" si="2"/>
        <v>623.00208478109801</v>
      </c>
      <c r="K16" s="129">
        <f t="shared" si="3"/>
        <v>103.19666435024321</v>
      </c>
      <c r="L16" s="130">
        <f t="shared" si="7"/>
        <v>0.62300208478109798</v>
      </c>
      <c r="M16" s="131">
        <f t="shared" si="4"/>
        <v>0.10319666435024322</v>
      </c>
    </row>
    <row r="17" spans="1:13">
      <c r="A17" s="132" t="s">
        <v>85</v>
      </c>
      <c r="B17" s="121">
        <v>125</v>
      </c>
      <c r="C17" s="122">
        <f t="shared" si="6"/>
        <v>105.10610079575596</v>
      </c>
      <c r="D17" s="123">
        <v>1108</v>
      </c>
      <c r="E17" s="124">
        <f t="shared" si="0"/>
        <v>106.89655172413794</v>
      </c>
      <c r="F17" s="124">
        <f t="shared" si="5"/>
        <v>91.069849690539343</v>
      </c>
      <c r="G17" s="125">
        <f t="shared" si="1"/>
        <v>23.76215738284704</v>
      </c>
      <c r="H17" s="126">
        <v>2250</v>
      </c>
      <c r="I17" s="127">
        <v>225</v>
      </c>
      <c r="J17" s="128">
        <f t="shared" si="2"/>
        <v>6706.9602428587104</v>
      </c>
      <c r="K17" s="129">
        <f t="shared" si="3"/>
        <v>1110.968874583958</v>
      </c>
      <c r="L17" s="130">
        <v>113.7</v>
      </c>
      <c r="M17" s="131">
        <f t="shared" si="4"/>
        <v>24.873126257430997</v>
      </c>
    </row>
    <row r="18" spans="1:13">
      <c r="A18" s="132" t="s">
        <v>86</v>
      </c>
      <c r="B18" s="121">
        <v>17</v>
      </c>
      <c r="C18" s="122">
        <f t="shared" si="6"/>
        <v>14.294429708222811</v>
      </c>
      <c r="D18" s="123">
        <v>152</v>
      </c>
      <c r="E18" s="124">
        <f t="shared" si="0"/>
        <v>14.537931034482758</v>
      </c>
      <c r="F18" s="124">
        <f t="shared" si="5"/>
        <v>12.38549955791335</v>
      </c>
      <c r="G18" s="125">
        <f t="shared" si="1"/>
        <v>3.2316534040671971</v>
      </c>
      <c r="H18" s="126">
        <v>114</v>
      </c>
      <c r="I18" s="127">
        <v>11</v>
      </c>
      <c r="J18" s="128">
        <f t="shared" si="2"/>
        <v>339.81931897150798</v>
      </c>
      <c r="K18" s="129">
        <f t="shared" si="3"/>
        <v>56.289089645587211</v>
      </c>
      <c r="L18" s="130">
        <f t="shared" si="7"/>
        <v>14.877750353454266</v>
      </c>
      <c r="M18" s="131">
        <f t="shared" si="4"/>
        <v>3.2879424937127846</v>
      </c>
    </row>
    <row r="19" spans="1:13">
      <c r="A19" s="132" t="s">
        <v>87</v>
      </c>
      <c r="B19" s="121">
        <v>49</v>
      </c>
      <c r="C19" s="122">
        <f t="shared" si="6"/>
        <v>41.201591511936343</v>
      </c>
      <c r="D19" s="123">
        <v>432</v>
      </c>
      <c r="E19" s="124">
        <f t="shared" si="0"/>
        <v>41.903448275862068</v>
      </c>
      <c r="F19" s="124">
        <f t="shared" si="5"/>
        <v>35.699381078691424</v>
      </c>
      <c r="G19" s="125">
        <f t="shared" si="1"/>
        <v>9.3147656940760388</v>
      </c>
      <c r="H19" s="126">
        <v>122</v>
      </c>
      <c r="I19" s="127">
        <v>12</v>
      </c>
      <c r="J19" s="128">
        <f t="shared" si="2"/>
        <v>363.66628872389452</v>
      </c>
      <c r="K19" s="129">
        <f t="shared" si="3"/>
        <v>60.239201199663505</v>
      </c>
      <c r="L19" s="130">
        <f t="shared" si="7"/>
        <v>42.26711456458596</v>
      </c>
      <c r="M19" s="131">
        <f t="shared" si="4"/>
        <v>9.375004895275703</v>
      </c>
    </row>
    <row r="20" spans="1:13">
      <c r="A20" s="132" t="s">
        <v>88</v>
      </c>
      <c r="B20" s="121">
        <v>6</v>
      </c>
      <c r="C20" s="122">
        <f t="shared" si="6"/>
        <v>5.0450928381962861</v>
      </c>
      <c r="D20" s="123">
        <v>57</v>
      </c>
      <c r="E20" s="124">
        <f t="shared" si="0"/>
        <v>5.1310344827586203</v>
      </c>
      <c r="F20" s="124">
        <f t="shared" si="5"/>
        <v>4.3713527851458887</v>
      </c>
      <c r="G20" s="125">
        <f t="shared" si="1"/>
        <v>1.1405835543766578</v>
      </c>
      <c r="H20" s="126">
        <v>5</v>
      </c>
      <c r="I20" s="127">
        <v>1</v>
      </c>
      <c r="J20" s="128">
        <f t="shared" si="2"/>
        <v>14.90435609524158</v>
      </c>
      <c r="K20" s="129">
        <f t="shared" si="3"/>
        <v>2.468819721297685</v>
      </c>
      <c r="L20" s="130">
        <f t="shared" si="7"/>
        <v>5.1459388388538621</v>
      </c>
      <c r="M20" s="131">
        <f t="shared" si="4"/>
        <v>1.1430523740979555</v>
      </c>
    </row>
    <row r="21" spans="1:13">
      <c r="A21" s="132" t="s">
        <v>89</v>
      </c>
      <c r="B21" s="121">
        <v>52</v>
      </c>
      <c r="C21" s="122">
        <f t="shared" si="6"/>
        <v>43.724137931034484</v>
      </c>
      <c r="D21" s="123">
        <v>459</v>
      </c>
      <c r="E21" s="124">
        <f t="shared" si="0"/>
        <v>44.468965517241379</v>
      </c>
      <c r="F21" s="124">
        <f t="shared" si="5"/>
        <v>37.885057471264368</v>
      </c>
      <c r="G21" s="125">
        <f t="shared" si="1"/>
        <v>9.8850574712643677</v>
      </c>
      <c r="H21" s="126">
        <v>426</v>
      </c>
      <c r="I21" s="127">
        <v>43</v>
      </c>
      <c r="J21" s="128">
        <f t="shared" si="2"/>
        <v>1269.8511393145823</v>
      </c>
      <c r="K21" s="129">
        <f t="shared" si="3"/>
        <v>210.34344025456272</v>
      </c>
      <c r="L21" s="130">
        <f t="shared" si="7"/>
        <v>45.738816656555962</v>
      </c>
      <c r="M21" s="131">
        <f t="shared" si="4"/>
        <v>10.095400911518931</v>
      </c>
    </row>
    <row r="22" spans="1:13">
      <c r="A22" s="132" t="s">
        <v>90</v>
      </c>
      <c r="B22" s="121">
        <v>4</v>
      </c>
      <c r="C22" s="122">
        <f t="shared" si="6"/>
        <v>3.363395225464191</v>
      </c>
      <c r="D22" s="123">
        <v>33</v>
      </c>
      <c r="E22" s="124">
        <f t="shared" si="0"/>
        <v>3.420689655172414</v>
      </c>
      <c r="F22" s="124">
        <f t="shared" si="5"/>
        <v>2.914235190097259</v>
      </c>
      <c r="G22" s="125">
        <f t="shared" si="1"/>
        <v>0.76038903625110521</v>
      </c>
      <c r="H22" s="126">
        <v>0</v>
      </c>
      <c r="I22" s="127">
        <v>0</v>
      </c>
      <c r="J22" s="128">
        <f t="shared" si="2"/>
        <v>0</v>
      </c>
      <c r="K22" s="129">
        <f t="shared" si="3"/>
        <v>0</v>
      </c>
      <c r="L22" s="130">
        <f t="shared" si="7"/>
        <v>3.420689655172414</v>
      </c>
      <c r="M22" s="131">
        <f t="shared" si="4"/>
        <v>0.76038903625110521</v>
      </c>
    </row>
    <row r="23" spans="1:13" ht="14.45" customHeight="1">
      <c r="A23" s="132" t="s">
        <v>91</v>
      </c>
      <c r="B23" s="121">
        <v>38</v>
      </c>
      <c r="C23" s="122">
        <f t="shared" si="6"/>
        <v>31.952254641909814</v>
      </c>
      <c r="D23" s="123">
        <v>335</v>
      </c>
      <c r="E23" s="124">
        <f t="shared" si="0"/>
        <v>32.49655172413793</v>
      </c>
      <c r="F23" s="124">
        <f t="shared" si="5"/>
        <v>27.685234305923959</v>
      </c>
      <c r="G23" s="125">
        <f t="shared" si="1"/>
        <v>7.2236958443854986</v>
      </c>
      <c r="H23" s="126">
        <v>2841</v>
      </c>
      <c r="I23" s="127">
        <v>284</v>
      </c>
      <c r="J23" s="128">
        <f t="shared" si="2"/>
        <v>8468.6551333162643</v>
      </c>
      <c r="K23" s="129">
        <f t="shared" si="3"/>
        <v>1402.7833656413445</v>
      </c>
      <c r="L23" s="130">
        <f t="shared" si="7"/>
        <v>40.965206857454191</v>
      </c>
      <c r="M23" s="131">
        <f t="shared" si="4"/>
        <v>8.6264792100268437</v>
      </c>
    </row>
    <row r="24" spans="1:13">
      <c r="A24" s="132" t="s">
        <v>92</v>
      </c>
      <c r="B24" s="121">
        <v>0</v>
      </c>
      <c r="C24" s="122">
        <f t="shared" si="6"/>
        <v>0</v>
      </c>
      <c r="D24" s="123">
        <v>0</v>
      </c>
      <c r="E24" s="124">
        <f t="shared" si="0"/>
        <v>0</v>
      </c>
      <c r="F24" s="124">
        <f t="shared" si="5"/>
        <v>0</v>
      </c>
      <c r="G24" s="125">
        <f t="shared" si="1"/>
        <v>0</v>
      </c>
      <c r="H24" s="126">
        <v>487</v>
      </c>
      <c r="I24" s="127">
        <v>49</v>
      </c>
      <c r="J24" s="128">
        <f t="shared" si="2"/>
        <v>1451.6842836765297</v>
      </c>
      <c r="K24" s="129">
        <f t="shared" si="3"/>
        <v>240.46304085439448</v>
      </c>
      <c r="L24" s="130">
        <f t="shared" si="7"/>
        <v>1.4516842836765298</v>
      </c>
      <c r="M24" s="131">
        <f t="shared" si="4"/>
        <v>0.24046304085439449</v>
      </c>
    </row>
    <row r="25" spans="1:13">
      <c r="A25" s="132" t="s">
        <v>93</v>
      </c>
      <c r="B25" s="121">
        <v>0</v>
      </c>
      <c r="C25" s="122">
        <f t="shared" si="6"/>
        <v>0</v>
      </c>
      <c r="D25" s="123">
        <v>0</v>
      </c>
      <c r="E25" s="124">
        <f t="shared" si="0"/>
        <v>0</v>
      </c>
      <c r="F25" s="124">
        <f t="shared" si="5"/>
        <v>0</v>
      </c>
      <c r="G25" s="125">
        <f t="shared" si="1"/>
        <v>0</v>
      </c>
      <c r="H25" s="126">
        <v>72</v>
      </c>
      <c r="I25" s="127">
        <v>7</v>
      </c>
      <c r="J25" s="128">
        <f t="shared" si="2"/>
        <v>214.62272777147874</v>
      </c>
      <c r="K25" s="129">
        <f t="shared" si="3"/>
        <v>35.551003986686659</v>
      </c>
      <c r="L25" s="130">
        <f t="shared" si="7"/>
        <v>0.21462272777147873</v>
      </c>
      <c r="M25" s="131">
        <f t="shared" si="4"/>
        <v>3.5551003986686661E-2</v>
      </c>
    </row>
    <row r="26" spans="1:13">
      <c r="A26" s="132" t="s">
        <v>94</v>
      </c>
      <c r="B26" s="121">
        <v>136</v>
      </c>
      <c r="C26" s="122">
        <f t="shared" si="6"/>
        <v>114.35543766578249</v>
      </c>
      <c r="D26" s="123">
        <v>1202</v>
      </c>
      <c r="E26" s="124">
        <f t="shared" si="0"/>
        <v>116.30344827586207</v>
      </c>
      <c r="F26" s="124">
        <f t="shared" si="5"/>
        <v>99.083996463306804</v>
      </c>
      <c r="G26" s="125">
        <f t="shared" si="1"/>
        <v>25.853227232537577</v>
      </c>
      <c r="H26" s="126">
        <v>7980</v>
      </c>
      <c r="I26" s="127">
        <v>798</v>
      </c>
      <c r="J26" s="128">
        <f t="shared" si="2"/>
        <v>23787.352328005556</v>
      </c>
      <c r="K26" s="129">
        <f t="shared" si="3"/>
        <v>3940.2362751911046</v>
      </c>
      <c r="L26" s="130">
        <v>139.80000000000001</v>
      </c>
      <c r="M26" s="131">
        <f t="shared" si="4"/>
        <v>29.793463507728681</v>
      </c>
    </row>
    <row r="27" spans="1:13">
      <c r="A27" s="132" t="s">
        <v>95</v>
      </c>
      <c r="B27" s="121">
        <v>22</v>
      </c>
      <c r="C27" s="122">
        <f t="shared" si="6"/>
        <v>18.49867374005305</v>
      </c>
      <c r="D27" s="123">
        <v>193</v>
      </c>
      <c r="E27" s="124">
        <f t="shared" si="0"/>
        <v>18.81379310344828</v>
      </c>
      <c r="F27" s="124">
        <f t="shared" si="5"/>
        <v>16.028293545534925</v>
      </c>
      <c r="G27" s="125">
        <f t="shared" si="1"/>
        <v>4.1821396993810787</v>
      </c>
      <c r="H27" s="126">
        <v>80</v>
      </c>
      <c r="I27" s="127">
        <v>8</v>
      </c>
      <c r="J27" s="128">
        <f t="shared" si="2"/>
        <v>238.46969752386528</v>
      </c>
      <c r="K27" s="129">
        <f t="shared" si="3"/>
        <v>39.50111554076296</v>
      </c>
      <c r="L27" s="130">
        <f t="shared" si="7"/>
        <v>19.052262800972144</v>
      </c>
      <c r="M27" s="131">
        <f t="shared" si="4"/>
        <v>4.2216408149218418</v>
      </c>
    </row>
    <row r="28" spans="1:13">
      <c r="A28" s="132" t="s">
        <v>96</v>
      </c>
      <c r="B28" s="121">
        <v>0</v>
      </c>
      <c r="C28" s="122">
        <f t="shared" si="6"/>
        <v>0</v>
      </c>
      <c r="D28" s="123">
        <v>0</v>
      </c>
      <c r="E28" s="124">
        <f t="shared" si="0"/>
        <v>0</v>
      </c>
      <c r="F28" s="124">
        <f t="shared" si="5"/>
        <v>0</v>
      </c>
      <c r="G28" s="125">
        <f t="shared" si="1"/>
        <v>0</v>
      </c>
      <c r="H28" s="126">
        <v>148</v>
      </c>
      <c r="I28" s="127">
        <v>15</v>
      </c>
      <c r="J28" s="128">
        <f t="shared" si="2"/>
        <v>441.16894041915072</v>
      </c>
      <c r="K28" s="129">
        <f t="shared" si="3"/>
        <v>73.077063750411469</v>
      </c>
      <c r="L28" s="130">
        <f t="shared" si="7"/>
        <v>0.44116894041915072</v>
      </c>
      <c r="M28" s="131">
        <f t="shared" si="4"/>
        <v>7.3077063750411467E-2</v>
      </c>
    </row>
    <row r="29" spans="1:13">
      <c r="A29" s="133" t="s">
        <v>97</v>
      </c>
      <c r="B29" s="121">
        <v>0</v>
      </c>
      <c r="C29" s="122">
        <f t="shared" si="6"/>
        <v>0</v>
      </c>
      <c r="D29" s="123">
        <v>0</v>
      </c>
      <c r="E29" s="124">
        <f t="shared" si="0"/>
        <v>0</v>
      </c>
      <c r="F29" s="124">
        <f t="shared" si="5"/>
        <v>0</v>
      </c>
      <c r="G29" s="125">
        <f t="shared" si="1"/>
        <v>0</v>
      </c>
      <c r="H29" s="126">
        <v>690</v>
      </c>
      <c r="I29" s="127">
        <v>69</v>
      </c>
      <c r="J29" s="128">
        <f t="shared" si="2"/>
        <v>2056.8011411433376</v>
      </c>
      <c r="K29" s="129">
        <f t="shared" si="3"/>
        <v>340.69712153908051</v>
      </c>
      <c r="L29" s="130">
        <f t="shared" si="7"/>
        <v>2.0568011411433376</v>
      </c>
      <c r="M29" s="131">
        <f t="shared" si="4"/>
        <v>0.34069712153908049</v>
      </c>
    </row>
    <row r="30" spans="1:13" s="146" customFormat="1" ht="16.5" thickBot="1">
      <c r="A30" s="134" t="s">
        <v>98</v>
      </c>
      <c r="B30" s="135">
        <f>SUM(B7:B29)</f>
        <v>1131</v>
      </c>
      <c r="C30" s="136">
        <f>SUM(C7:C29)</f>
        <v>951</v>
      </c>
      <c r="D30" s="137">
        <f>SUM(D7:D29)</f>
        <v>10009</v>
      </c>
      <c r="E30" s="138">
        <f t="shared" ref="E30:M30" si="8">SUM(E7:E29)</f>
        <v>967.19999999999993</v>
      </c>
      <c r="F30" s="138">
        <f t="shared" si="8"/>
        <v>824</v>
      </c>
      <c r="G30" s="139">
        <f t="shared" si="8"/>
        <v>215</v>
      </c>
      <c r="H30" s="140">
        <f>SUM(H7:H29)</f>
        <v>27341</v>
      </c>
      <c r="I30" s="141">
        <f>SUM(I7:I29)</f>
        <v>2735</v>
      </c>
      <c r="J30" s="142">
        <f t="shared" si="8"/>
        <v>81499.999999999985</v>
      </c>
      <c r="K30" s="143">
        <f t="shared" si="8"/>
        <v>13499.999999999998</v>
      </c>
      <c r="L30" s="144">
        <f t="shared" si="8"/>
        <v>1048.6816714571648</v>
      </c>
      <c r="M30" s="145">
        <f t="shared" si="8"/>
        <v>228.5</v>
      </c>
    </row>
    <row r="31" spans="1:13">
      <c r="K31" s="92" t="s">
        <v>99</v>
      </c>
      <c r="L31" s="148">
        <v>9.5</v>
      </c>
    </row>
    <row r="32" spans="1:13" ht="15">
      <c r="K32" s="92" t="s">
        <v>100</v>
      </c>
      <c r="L32" s="149">
        <f>SUM(L30:L31)</f>
        <v>1058.1816714571648</v>
      </c>
    </row>
    <row r="33" spans="11:13">
      <c r="K33" s="150" t="s">
        <v>101</v>
      </c>
      <c r="L33" s="150"/>
      <c r="M33" s="151">
        <f>G30+K30/1000</f>
        <v>228.5</v>
      </c>
    </row>
    <row r="34" spans="11:13">
      <c r="K34" s="152" t="s">
        <v>102</v>
      </c>
      <c r="L34" s="152"/>
      <c r="M34" s="153">
        <v>9.5</v>
      </c>
    </row>
    <row r="35" spans="11:13" ht="13.5" thickBot="1">
      <c r="K35" s="154" t="s">
        <v>103</v>
      </c>
      <c r="L35" s="154"/>
      <c r="M35" s="155">
        <f>SUM(M33:M34)</f>
        <v>238</v>
      </c>
    </row>
    <row r="44" spans="11:13">
      <c r="L44" s="148" t="s">
        <v>104</v>
      </c>
    </row>
  </sheetData>
  <mergeCells count="2">
    <mergeCell ref="B5:D5"/>
    <mergeCell ref="H5:I5"/>
  </mergeCells>
  <phoneticPr fontId="3" type="noConversion"/>
  <pageMargins left="0.75" right="0.19" top="0.45" bottom="0.57999999999999996" header="0" footer="0"/>
  <pageSetup paperSize="9" scale="7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G25"/>
  <sheetViews>
    <sheetView workbookViewId="0">
      <selection activeCell="C28" sqref="C28"/>
    </sheetView>
  </sheetViews>
  <sheetFormatPr defaultRowHeight="12.75"/>
  <cols>
    <col min="1" max="1" width="25.140625" customWidth="1"/>
    <col min="2" max="2" width="15.28515625" customWidth="1"/>
    <col min="3" max="3" width="15.7109375" customWidth="1"/>
    <col min="4" max="4" width="15.42578125" customWidth="1"/>
    <col min="5" max="5" width="15.7109375" customWidth="1"/>
    <col min="6" max="6" width="15.42578125" customWidth="1"/>
  </cols>
  <sheetData>
    <row r="1" spans="1:7" ht="18">
      <c r="A1" s="158" t="s">
        <v>134</v>
      </c>
    </row>
    <row r="2" spans="1:7" ht="15">
      <c r="A2" s="181" t="s">
        <v>143</v>
      </c>
    </row>
    <row r="3" spans="1:7" ht="12.75" customHeight="1">
      <c r="A3" s="219"/>
      <c r="B3" s="219"/>
      <c r="C3" s="219"/>
      <c r="D3" s="219"/>
      <c r="E3" s="219"/>
      <c r="F3" s="219"/>
      <c r="G3" s="219"/>
    </row>
    <row r="4" spans="1:7" ht="44.25" customHeight="1">
      <c r="A4" s="163" t="s">
        <v>112</v>
      </c>
      <c r="B4" s="164" t="s">
        <v>135</v>
      </c>
      <c r="C4" s="165" t="s">
        <v>144</v>
      </c>
      <c r="D4" s="166" t="s">
        <v>136</v>
      </c>
      <c r="E4" s="162"/>
      <c r="F4" s="162"/>
      <c r="G4" s="162"/>
    </row>
    <row r="5" spans="1:7" ht="12.75" customHeight="1">
      <c r="A5" s="167" t="s">
        <v>85</v>
      </c>
      <c r="B5" s="168">
        <v>91100000</v>
      </c>
      <c r="C5" s="169">
        <v>98600000</v>
      </c>
      <c r="D5" s="169">
        <v>125</v>
      </c>
      <c r="E5" s="162"/>
      <c r="F5" s="162"/>
      <c r="G5" s="162"/>
    </row>
    <row r="6" spans="1:7" ht="12.75" customHeight="1">
      <c r="A6" s="170" t="s">
        <v>113</v>
      </c>
      <c r="B6" s="171">
        <v>12400000</v>
      </c>
      <c r="C6" s="172">
        <v>26900000</v>
      </c>
      <c r="D6" s="173">
        <v>17</v>
      </c>
      <c r="E6" s="162"/>
      <c r="F6" s="162"/>
      <c r="G6" s="162"/>
    </row>
    <row r="7" spans="1:7" ht="12.75" customHeight="1">
      <c r="A7" s="170" t="s">
        <v>114</v>
      </c>
      <c r="B7" s="171">
        <v>35700000</v>
      </c>
      <c r="C7" s="172">
        <v>56700000</v>
      </c>
      <c r="D7" s="173">
        <v>49</v>
      </c>
      <c r="E7" s="162"/>
      <c r="F7" s="162"/>
      <c r="G7" s="162"/>
    </row>
    <row r="8" spans="1:7" ht="12.75" customHeight="1">
      <c r="A8" s="170" t="s">
        <v>115</v>
      </c>
      <c r="B8" s="171">
        <v>4400000</v>
      </c>
      <c r="C8" s="172">
        <v>4400000</v>
      </c>
      <c r="D8" s="173">
        <v>6</v>
      </c>
      <c r="E8" s="162"/>
      <c r="F8" s="162"/>
      <c r="G8" s="162"/>
    </row>
    <row r="9" spans="1:7" ht="12.75" customHeight="1">
      <c r="A9" s="170" t="s">
        <v>116</v>
      </c>
      <c r="B9" s="171">
        <v>37900000</v>
      </c>
      <c r="C9" s="172">
        <v>38900000</v>
      </c>
      <c r="D9" s="173">
        <v>52</v>
      </c>
      <c r="E9" s="162"/>
      <c r="F9" s="162"/>
      <c r="G9" s="162"/>
    </row>
    <row r="10" spans="1:7" ht="12.75" customHeight="1">
      <c r="A10" s="170" t="s">
        <v>117</v>
      </c>
      <c r="B10" s="171">
        <v>302400000</v>
      </c>
      <c r="C10" s="172">
        <v>308400000</v>
      </c>
      <c r="D10" s="173">
        <v>415</v>
      </c>
      <c r="E10" s="162"/>
      <c r="F10" s="162"/>
      <c r="G10" s="162"/>
    </row>
    <row r="11" spans="1:7" ht="12.75" customHeight="1">
      <c r="A11" s="170" t="s">
        <v>118</v>
      </c>
      <c r="B11" s="171">
        <v>28400000</v>
      </c>
      <c r="C11" s="172">
        <v>25900000</v>
      </c>
      <c r="D11" s="173">
        <v>39</v>
      </c>
      <c r="E11" s="162"/>
      <c r="F11" s="162"/>
      <c r="G11" s="162"/>
    </row>
    <row r="12" spans="1:7" ht="12.75" customHeight="1">
      <c r="A12" s="170" t="s">
        <v>119</v>
      </c>
      <c r="B12" s="171">
        <v>29100000</v>
      </c>
      <c r="C12" s="172">
        <v>35100000</v>
      </c>
      <c r="D12" s="173">
        <v>40</v>
      </c>
      <c r="E12" s="162"/>
      <c r="F12" s="162"/>
      <c r="G12" s="162"/>
    </row>
    <row r="13" spans="1:7" ht="12.75" customHeight="1">
      <c r="A13" s="170" t="s">
        <v>120</v>
      </c>
      <c r="B13" s="171">
        <v>66300000</v>
      </c>
      <c r="C13" s="172">
        <v>55300000</v>
      </c>
      <c r="D13" s="173">
        <v>91</v>
      </c>
      <c r="E13" s="162"/>
      <c r="F13" s="162"/>
      <c r="G13" s="162"/>
    </row>
    <row r="14" spans="1:7" ht="12.75" customHeight="1">
      <c r="A14" s="170" t="s">
        <v>121</v>
      </c>
      <c r="B14" s="171">
        <v>50300000</v>
      </c>
      <c r="C14" s="172">
        <v>41800000</v>
      </c>
      <c r="D14" s="173">
        <v>69</v>
      </c>
      <c r="E14" s="162"/>
      <c r="F14" s="162"/>
      <c r="G14" s="162"/>
    </row>
    <row r="15" spans="1:7" ht="12.75" customHeight="1">
      <c r="A15" s="170" t="s">
        <v>122</v>
      </c>
      <c r="B15" s="171">
        <v>20400000</v>
      </c>
      <c r="C15" s="172">
        <v>20400000</v>
      </c>
      <c r="D15" s="173">
        <v>28</v>
      </c>
      <c r="E15" s="162"/>
      <c r="F15" s="162"/>
      <c r="G15" s="162"/>
    </row>
    <row r="16" spans="1:7" ht="12.75" customHeight="1">
      <c r="A16" s="170" t="s">
        <v>123</v>
      </c>
      <c r="B16" s="171">
        <v>2900000</v>
      </c>
      <c r="C16" s="172">
        <v>3900000</v>
      </c>
      <c r="D16" s="173">
        <v>4</v>
      </c>
      <c r="E16" s="162"/>
      <c r="F16" s="162"/>
      <c r="G16" s="162"/>
    </row>
    <row r="17" spans="1:7" ht="15">
      <c r="A17" s="170" t="s">
        <v>124</v>
      </c>
      <c r="B17" s="171">
        <v>27700000</v>
      </c>
      <c r="C17" s="172">
        <v>20700000</v>
      </c>
      <c r="D17" s="173">
        <v>38</v>
      </c>
      <c r="E17" s="187"/>
    </row>
    <row r="18" spans="1:7" ht="12.75" customHeight="1">
      <c r="A18" s="170" t="s">
        <v>125</v>
      </c>
      <c r="B18" s="171">
        <v>99100000</v>
      </c>
      <c r="C18" s="172">
        <v>77100000</v>
      </c>
      <c r="D18" s="173">
        <v>136</v>
      </c>
      <c r="E18" s="176"/>
      <c r="F18" s="176"/>
    </row>
    <row r="19" spans="1:7" ht="15">
      <c r="A19" s="170" t="s">
        <v>126</v>
      </c>
      <c r="B19" s="171">
        <v>16000000</v>
      </c>
      <c r="C19" s="172">
        <v>10000000</v>
      </c>
      <c r="D19" s="173">
        <v>22</v>
      </c>
      <c r="E19" s="185"/>
      <c r="F19" s="179"/>
    </row>
    <row r="20" spans="1:7" ht="15">
      <c r="A20" s="170" t="s">
        <v>7</v>
      </c>
      <c r="B20" s="174">
        <v>824100000</v>
      </c>
      <c r="C20" s="186">
        <v>824100000</v>
      </c>
      <c r="D20" s="175">
        <v>1131</v>
      </c>
      <c r="E20" s="177"/>
      <c r="F20" s="179"/>
    </row>
    <row r="21" spans="1:7" ht="27" customHeight="1">
      <c r="A21" s="182" t="s">
        <v>137</v>
      </c>
      <c r="E21" s="178"/>
      <c r="F21" s="180"/>
    </row>
    <row r="22" spans="1:7" ht="68.25" customHeight="1">
      <c r="A22" s="220" t="s">
        <v>138</v>
      </c>
      <c r="B22" s="220"/>
      <c r="C22" s="220"/>
      <c r="D22" s="220"/>
      <c r="E22" s="220"/>
      <c r="F22" s="220"/>
      <c r="G22" s="220"/>
    </row>
    <row r="23" spans="1:7" ht="57.75" customHeight="1">
      <c r="A23" s="218" t="s">
        <v>139</v>
      </c>
      <c r="B23" s="218"/>
      <c r="C23" s="218"/>
      <c r="D23" s="218"/>
      <c r="E23" s="218"/>
      <c r="F23" s="218"/>
      <c r="G23" s="218"/>
    </row>
    <row r="24" spans="1:7" ht="55.5" customHeight="1">
      <c r="A24" s="218" t="s">
        <v>140</v>
      </c>
      <c r="B24" s="218"/>
      <c r="C24" s="218"/>
      <c r="D24" s="218"/>
      <c r="E24" s="218"/>
      <c r="F24" s="218"/>
      <c r="G24" s="218"/>
    </row>
    <row r="25" spans="1:7" ht="101.25" customHeight="1">
      <c r="A25" s="218" t="s">
        <v>145</v>
      </c>
      <c r="B25" s="218"/>
      <c r="C25" s="218"/>
      <c r="D25" s="218"/>
      <c r="E25" s="218"/>
      <c r="F25" s="218"/>
      <c r="G25" s="218"/>
    </row>
  </sheetData>
  <mergeCells count="5">
    <mergeCell ref="A24:G24"/>
    <mergeCell ref="A25:G25"/>
    <mergeCell ref="A3:G3"/>
    <mergeCell ref="A22:G22"/>
    <mergeCell ref="A23:G23"/>
  </mergeCells>
  <pageMargins left="0.7" right="0.7" top="0.75" bottom="0.75" header="0.3" footer="0.3"/>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VOP 4.3</vt:lpstr>
      <vt:lpstr>2. økonomifordeling</vt:lpstr>
      <vt:lpstr>3. omfordeling af økonomi</vt:lpstr>
      <vt:lpstr>'VOP 4.3'!Udskriftsområde</vt:lpstr>
    </vt:vector>
  </TitlesOfParts>
  <Company>Miljøministeriet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 Kirkebæk</dc:creator>
  <cp:lastModifiedBy>Anja Rasmussen</cp:lastModifiedBy>
  <cp:lastPrinted>2016-02-05T10:58:17Z</cp:lastPrinted>
  <dcterms:created xsi:type="dcterms:W3CDTF">2010-04-19T11:21:39Z</dcterms:created>
  <dcterms:modified xsi:type="dcterms:W3CDTF">2017-10-17T13:16:28Z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